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Vasicek" sheetId="2" state="visible" r:id="rId4"/>
    <sheet name="IRB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<sst xmlns="http://schemas.openxmlformats.org/spreadsheetml/2006/main" count="71" uniqueCount="70">
  <si>
    <t xml:space="preserve">Vasicek / Basel IRB Capital Workbook</t>
  </si>
  <si>
    <t xml:space="preserve">Companion download to Module 8 — Portfolio Credit Risk, at rodoslay.com/credit-models/08-portfolio-credit-risk</t>
  </si>
  <si>
    <t xml:space="preserve">WHAT'S INSIDE</t>
  </si>
  <si>
    <t xml:space="preserve">'Vasicek'  — the single-factor model in formulas: conditional PD given the economy, the closed-form loss CDF,</t>
  </si>
  <si>
    <t xml:space="preserve">             and Value-at-Risk at any confidence. A chart shows the loss distribution's percentiles.</t>
  </si>
  <si>
    <t xml:space="preserve">'IRB'      — the Basel corporate capital formula on a worked 8-loan portfolio: the regulatory correlation ρ(PD),</t>
  </si>
  <si>
    <t xml:space="preserve">             maturity adjustment b(PD), capital requirement K per loan, RWA, and portfolio totals.</t>
  </si>
  <si>
    <t xml:space="preserve">HOW TO USE IT</t>
  </si>
  <si>
    <t xml:space="preserve">Blue cells are inputs — edit those. Black cells are formulas — leave them. Yellow marks the key assumptions.</t>
  </si>
  <si>
    <t xml:space="preserve">Start on 'Vasicek': push correlation from 5% to 40% and watch the 99.9% loss run away from expected loss.</t>
  </si>
  <si>
    <t xml:space="preserve">Then on 'IRB': change one loan's PD or maturity and watch its capital charge and risk weight respond.</t>
  </si>
  <si>
    <t xml:space="preserve">THE FORMULAS (as implemented)</t>
  </si>
  <si>
    <t xml:space="preserve">Conditional PD:   p(m) = Φ( (Φ⁻¹(PD) − √ρ·m) / √(1−ρ) )</t>
  </si>
  <si>
    <t xml:space="preserve">Loss CDF:         P(x̃ ≤ x) = Φ( (√(1−ρ)·Φ⁻¹(x) − Φ⁻¹(PD)) / √ρ )</t>
  </si>
  <si>
    <t xml:space="preserve">Default-rate VaR: x(α) = Φ( (Φ⁻¹(PD) + √ρ·Φ⁻¹(α)) / √(1−ρ) )</t>
  </si>
  <si>
    <t xml:space="preserve">Basel ρ(PD):      0.12·w + 0.24·(1−w),  w = (1−e^(−50·PD)) / (1−e^(−50))</t>
  </si>
  <si>
    <t xml:space="preserve">Maturity adj.:    b = (0.11852 − 0.05478·ln PD)²,  MA = (1 + (M − 2.5)·b) / (1 − 1.5·b)</t>
  </si>
  <si>
    <t xml:space="preserve">Capital K:        [ LGD·Φ((Φ⁻¹(PD) + √ρ·Φ⁻¹(0.999)) / √(1−ρ)) − PD·LGD ] · MA</t>
  </si>
  <si>
    <t xml:space="preserve">RWA:              K × 12.5 × EAD      (12.5 = 1 / 8%)</t>
  </si>
  <si>
    <t xml:space="preserve">CAVEATS</t>
  </si>
  <si>
    <t xml:space="preserve">• The IRB sheet implements the corporate/sovereign/bank asset class (no SME size adjustment, no retail curves).</t>
  </si>
  <si>
    <t xml:space="preserve">• The model assumes one systematic factor and infinite granularity — no concentration, no sector structure.</t>
  </si>
  <si>
    <t xml:space="preserve">• PD inputs are floored at 0.03% per the corporate IRB floor.</t>
  </si>
  <si>
    <t xml:space="preserve">Vasicek single-factor loss model</t>
  </si>
  <si>
    <t xml:space="preserve">One PD, one LGD, one correlation — the whole loss distribution.</t>
  </si>
  <si>
    <t xml:space="preserve">Inputs</t>
  </si>
  <si>
    <t xml:space="preserve">PD (per borrower)</t>
  </si>
  <si>
    <t xml:space="preserve">LGD</t>
  </si>
  <si>
    <t xml:space="preserve">Asset correlation ρ</t>
  </si>
  <si>
    <t xml:space="preserve">← the input that runs the show</t>
  </si>
  <si>
    <t xml:space="preserve">VaR confidence α</t>
  </si>
  <si>
    <t xml:space="preserve">Results</t>
  </si>
  <si>
    <t xml:space="preserve">Expected loss (PD × LGD)</t>
  </si>
  <si>
    <t xml:space="preserve">Default-rate VaR at α</t>
  </si>
  <si>
    <t xml:space="preserve">Loss VaR at α (× LGD)</t>
  </si>
  <si>
    <t xml:space="preserve">Capital (Loss VaR − EL)</t>
  </si>
  <si>
    <t xml:space="preserve">Conditional PD given the economy  p(m)</t>
  </si>
  <si>
    <t xml:space="preserve">Loss percentiles</t>
  </si>
  <si>
    <t xml:space="preserve">Economy m (σ)</t>
  </si>
  <si>
    <t xml:space="preserve">Conditional PD</t>
  </si>
  <si>
    <t xml:space="preserve">Percentile</t>
  </si>
  <si>
    <t xml:space="preserve">Default rate</t>
  </si>
  <si>
    <t xml:space="preserve">Loss rate (×LGD)</t>
  </si>
  <si>
    <t xml:space="preserve">m = −2.3σ is roughly the 1-in-100 year; note how far the conditional PD sits above the unconditional.</t>
  </si>
  <si>
    <t xml:space="preserve">Basel IRB capital — corporate asset class, worked portfolio</t>
  </si>
  <si>
    <t xml:space="preserve">Blue inputs per loan; everything else is the regulatory formula. K is capital per unit of EAD; RWA = K × 12.5 × EAD.</t>
  </si>
  <si>
    <t xml:space="preserve">Loan</t>
  </si>
  <si>
    <t xml:space="preserve">EAD</t>
  </si>
  <si>
    <t xml:space="preserve">PD</t>
  </si>
  <si>
    <t xml:space="preserve">Maturity M</t>
  </si>
  <si>
    <t xml:space="preserve">ρ(PD)</t>
  </si>
  <si>
    <t xml:space="preserve">b(PD)</t>
  </si>
  <si>
    <t xml:space="preserve">Maturity adj.</t>
  </si>
  <si>
    <t xml:space="preserve">K</t>
  </si>
  <si>
    <t xml:space="preserve">Risk weight</t>
  </si>
  <si>
    <t xml:space="preserve">RWA</t>
  </si>
  <si>
    <t xml:space="preserve">Capital (8%)</t>
  </si>
  <si>
    <t xml:space="preserve">Corp A (IG)</t>
  </si>
  <si>
    <t xml:space="preserve">Corp B (IG)</t>
  </si>
  <si>
    <t xml:space="preserve">Corp C (BBB)</t>
  </si>
  <si>
    <t xml:space="preserve">Corp D (BB)</t>
  </si>
  <si>
    <t xml:space="preserve">Corp E (BB-)</t>
  </si>
  <si>
    <t xml:space="preserve">Corp F (B)</t>
  </si>
  <si>
    <t xml:space="preserve">Corp G (B-)</t>
  </si>
  <si>
    <t xml:space="preserve">Corp H (CCC)</t>
  </si>
  <si>
    <t xml:space="preserve">Portfolio</t>
  </si>
  <si>
    <t xml:space="preserve">Avg risk weight</t>
  </si>
  <si>
    <t xml:space="preserve">Note the shape: K rises steeply with PD but ρ(PD) falls — Basel assumes riskier firms are</t>
  </si>
  <si>
    <t xml:space="preserve">more idiosyncratic. The maturity adjustment rewards short loans and penalizes long ones,</t>
  </si>
  <si>
    <t xml:space="preserve">most strongly for low-PD names (downgrade risk dominates when default risk is small).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</si>
</sst>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%"/>
    <numFmt numFmtId="166" formatCode="0%"/>
    <numFmt numFmtId="167" formatCode="0.0%"/>
    <numFmt numFmtId="168" formatCode="0.0"/>
    <numFmt numFmtId="169" formatCode="0.000%"/>
    <numFmt numFmtId="170" formatCode="#,##0"/>
    <numFmt numFmtId="171" formatCode="0.0000"/>
    <numFmt numFmtId="172" formatCode="0.0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D3A"/>
      <name val="Arial"/>
      <family val="0"/>
      <charset val="1"/>
    </font>
    <font>
      <i val="true"/>
      <sz val="9"/>
      <color rgb="FF5C5C5C"/>
      <name val="Arial"/>
      <family val="0"/>
      <charset val="1"/>
    </font>
    <font>
      <b val="true"/>
      <sz val="11"/>
      <color rgb="FF1F4D3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D3A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5C5C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4D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Loss rate by percentile (the fat tail, drawn)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Vasicek!G17</c:f>
              <c:strCache>
                <c:ptCount val="1"/>
                <c:pt idx="0">
                  <c:v>Loss rate (×LGD)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Vasicek!$E$18:$E$27</c:f>
              <c:strCache>
                <c:ptCount val="10"/>
                <c:pt idx="0">
                  <c:v>10.00%</c:v>
                </c:pt>
                <c:pt idx="1">
                  <c:v>25.00%</c:v>
                </c:pt>
                <c:pt idx="2">
                  <c:v>50.00%</c:v>
                </c:pt>
                <c:pt idx="3">
                  <c:v>75.00%</c:v>
                </c:pt>
                <c:pt idx="4">
                  <c:v>90.00%</c:v>
                </c:pt>
                <c:pt idx="5">
                  <c:v>95.00%</c:v>
                </c:pt>
                <c:pt idx="6">
                  <c:v>99.00%</c:v>
                </c:pt>
                <c:pt idx="7">
                  <c:v>99.50%</c:v>
                </c:pt>
                <c:pt idx="8">
                  <c:v>99.90%</c:v>
                </c:pt>
                <c:pt idx="9">
                  <c:v>99.95%</c:v>
                </c:pt>
              </c:strCache>
            </c:strRef>
          </c:cat>
          <c:val>
            <c:numRef>
              <c:f>Vasicek!$G$18:$G$27</c:f>
              <c:numCache>
                <c:formatCode>0.000%</c:formatCode>
                <c:ptCount val="10"/>
                <c:pt idx="0">
                  <c:v>0.00127698770600993</c:v>
                </c:pt>
                <c:pt idx="1">
                  <c:v>0.0027091839014787</c:v>
                </c:pt>
                <c:pt idx="2">
                  <c:v>0.00582906823458546</c:v>
                </c:pt>
                <c:pt idx="3">
                  <c:v>0.0116693942648842</c:v>
                </c:pt>
                <c:pt idx="4">
                  <c:v>0.0205138479896423</c:v>
                </c:pt>
                <c:pt idx="5">
                  <c:v>0.0279865674633834</c:v>
                </c:pt>
                <c:pt idx="6">
                  <c:v>0.0475143044725444</c:v>
                </c:pt>
                <c:pt idx="7">
                  <c:v>0.0566968651997389</c:v>
                </c:pt>
                <c:pt idx="8">
                  <c:v>0.0793480226157892</c:v>
                </c:pt>
                <c:pt idx="9">
                  <c:v>0.0895365349990234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0984885"/>
        <c:axId val="78458628"/>
      </c:lineChart>
      <c:catAx>
        <c:axId val="4098488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Percentile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458628"/>
        <c:crosses val="autoZero"/>
        <c:auto val="1"/>
        <c:lblAlgn val="ctr"/>
        <c:lblOffset val="100"/>
        <c:noMultiLvlLbl val="0"/>
      </c:catAx>
      <c:valAx>
        <c:axId val="7845862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Loss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9848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32</xdr:row>
      <xdr:rowOff>176040</xdr:rowOff>
    </xdr:from>
    <xdr:to>
      <xdr:col>5</xdr:col>
      <xdr:colOff>888840</xdr:colOff>
      <xdr:row>48</xdr:row>
      <xdr:rowOff>7560</xdr:rowOff>
    </xdr:to>
    <xdr:graphicFrame>
      <xdr:nvGraphicFramePr>
        <xdr:cNvPr id="0" name="Chart 1"/>
        <xdr:cNvGraphicFramePr/>
      </xdr:nvGraphicFramePr>
      <xdr:xfrm>
        <a:off x="141120" y="62866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2" customFormat="false" ht="16.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4" t="s">
        <v>13</v>
      </c>
    </row>
    <row r="19" customFormat="false" ht="15" hidden="false" customHeight="false" outlineLevel="0" collapsed="false">
      <c r="B19" s="4" t="s">
        <v>14</v>
      </c>
    </row>
    <row r="20" customFormat="false" ht="15" hidden="false" customHeight="false" outlineLevel="0" collapsed="false">
      <c r="B20" s="4" t="s">
        <v>15</v>
      </c>
    </row>
    <row r="21" customFormat="false" ht="15" hidden="false" customHeight="false" outlineLevel="0" collapsed="false">
      <c r="B21" s="4" t="s">
        <v>16</v>
      </c>
    </row>
    <row r="22" customFormat="false" ht="15" hidden="false" customHeight="false" outlineLevel="0" collapsed="false">
      <c r="B22" s="4" t="s">
        <v>17</v>
      </c>
    </row>
    <row r="23" customFormat="false" ht="15" hidden="false" customHeight="false" outlineLevel="0" collapsed="false">
      <c r="B23" s="4" t="s">
        <v>18</v>
      </c>
    </row>
    <row r="25" customFormat="false" ht="15" hidden="false" customHeight="false" outlineLevel="0" collapsed="false">
      <c r="B25" s="3" t="s">
        <v>19</v>
      </c>
    </row>
    <row r="26" customFormat="false" ht="15" hidden="false" customHeight="false" outlineLevel="0" collapsed="false">
      <c r="B26" s="4" t="s">
        <v>20</v>
      </c>
    </row>
    <row r="27" customFormat="false" ht="15" hidden="false" customHeight="false" outlineLevel="0" collapsed="false">
      <c r="B27" s="4" t="s">
        <v>21</v>
      </c>
    </row>
    <row r="28" customFormat="false" ht="15" hidden="false" customHeight="false" outlineLevel="0" collapsed="false">
      <c r="B28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4" min="4" style="0" width="6"/>
    <col collapsed="false" customWidth="true" hidden="false" outlineLevel="0" max="5" min="5" style="0" width="14"/>
    <col collapsed="false" customWidth="true" hidden="false" outlineLevel="0" max="7" min="6" style="0" width="16"/>
    <col collapsed="false" customWidth="true" hidden="false" outlineLevel="0" max="8" min="8" style="0" width="3"/>
  </cols>
  <sheetData>
    <row r="2" customFormat="false" ht="16.15" hidden="false" customHeight="false" outlineLevel="0" collapsed="false">
      <c r="B2" s="1" t="s">
        <v>23</v>
      </c>
    </row>
    <row r="3" customFormat="false" ht="15" hidden="false" customHeight="false" outlineLevel="0" collapsed="false">
      <c r="B3" s="2" t="s">
        <v>24</v>
      </c>
    </row>
    <row r="4" customFormat="false" ht="15" hidden="false" customHeight="false" outlineLevel="0" collapsed="false">
      <c r="B4" s="3" t="s">
        <v>25</v>
      </c>
    </row>
    <row r="5" customFormat="false" ht="15" hidden="false" customHeight="false" outlineLevel="0" collapsed="false">
      <c r="B5" s="4" t="s">
        <v>26</v>
      </c>
      <c r="C5" s="5" t="n">
        <v>0.02</v>
      </c>
    </row>
    <row r="6" customFormat="false" ht="15" hidden="false" customHeight="false" outlineLevel="0" collapsed="false">
      <c r="B6" s="4" t="s">
        <v>27</v>
      </c>
      <c r="C6" s="6" t="n">
        <v>0.45</v>
      </c>
    </row>
    <row r="7" customFormat="false" ht="15" hidden="false" customHeight="false" outlineLevel="0" collapsed="false">
      <c r="B7" s="4" t="s">
        <v>28</v>
      </c>
      <c r="C7" s="7" t="n">
        <v>0.15</v>
      </c>
      <c r="D7" s="2" t="s">
        <v>29</v>
      </c>
    </row>
    <row r="8" customFormat="false" ht="15" hidden="false" customHeight="false" outlineLevel="0" collapsed="false">
      <c r="B8" s="4" t="s">
        <v>30</v>
      </c>
      <c r="C8" s="8" t="n">
        <v>0.999</v>
      </c>
    </row>
    <row r="10" customFormat="false" ht="15" hidden="false" customHeight="false" outlineLevel="0" collapsed="false">
      <c r="B10" s="3" t="s">
        <v>31</v>
      </c>
    </row>
    <row r="11" customFormat="false" ht="15" hidden="false" customHeight="false" outlineLevel="0" collapsed="false">
      <c r="B11" s="4" t="s">
        <v>32</v>
      </c>
      <c r="C11" s="9" t="n">
        <f aca="false">$C$5*$C$6</f>
        <v>0.009</v>
      </c>
    </row>
    <row r="12" customFormat="false" ht="15" hidden="false" customHeight="false" outlineLevel="0" collapsed="false">
      <c r="B12" s="4" t="s">
        <v>33</v>
      </c>
      <c r="C12" s="9" t="n">
        <f aca="false">NORMSDIST((NORMSINV($C$5)+SQRT($C$7)*NORMSINV($C$8))/SQRT(1-$C$7))</f>
        <v>0.176328939146198</v>
      </c>
    </row>
    <row r="13" customFormat="false" ht="15" hidden="false" customHeight="false" outlineLevel="0" collapsed="false">
      <c r="B13" s="4" t="s">
        <v>34</v>
      </c>
      <c r="C13" s="9" t="n">
        <f aca="false">$C$6*C12</f>
        <v>0.0793480226157892</v>
      </c>
    </row>
    <row r="14" customFormat="false" ht="15" hidden="false" customHeight="false" outlineLevel="0" collapsed="false">
      <c r="B14" s="10" t="s">
        <v>35</v>
      </c>
      <c r="C14" s="9" t="n">
        <f aca="false">C13-C11</f>
        <v>0.0703480226157892</v>
      </c>
    </row>
    <row r="16" customFormat="false" ht="15" hidden="false" customHeight="false" outlineLevel="0" collapsed="false">
      <c r="B16" s="3" t="s">
        <v>36</v>
      </c>
      <c r="E16" s="3" t="s">
        <v>37</v>
      </c>
    </row>
    <row r="17" customFormat="false" ht="15" hidden="false" customHeight="false" outlineLevel="0" collapsed="false">
      <c r="B17" s="11" t="s">
        <v>38</v>
      </c>
      <c r="C17" s="11" t="s">
        <v>39</v>
      </c>
      <c r="E17" s="11" t="s">
        <v>40</v>
      </c>
      <c r="F17" s="11" t="s">
        <v>41</v>
      </c>
      <c r="G17" s="11" t="s">
        <v>42</v>
      </c>
    </row>
    <row r="18" customFormat="false" ht="15" hidden="false" customHeight="false" outlineLevel="0" collapsed="false">
      <c r="B18" s="12" t="n">
        <v>-3</v>
      </c>
      <c r="C18" s="9" t="n">
        <f aca="false">NORMSDIST((NORMSINV($C$5)-SQRT($C$7)*B18)/SQRT(1-$C$7))</f>
        <v>0.166684202947132</v>
      </c>
      <c r="E18" s="5" t="n">
        <v>0.1</v>
      </c>
      <c r="F18" s="13" t="n">
        <f aca="false">NORMSDIST((NORMSINV($C$5)+SQRT($C$7)*NORMSINV(E18))/SQRT(1-$C$7))</f>
        <v>0.00283775045779985</v>
      </c>
      <c r="G18" s="13" t="n">
        <f aca="false">$C$6*F18</f>
        <v>0.00127698770600993</v>
      </c>
    </row>
    <row r="19" customFormat="false" ht="15" hidden="false" customHeight="false" outlineLevel="0" collapsed="false">
      <c r="B19" s="12" t="n">
        <v>-2.5</v>
      </c>
      <c r="C19" s="9" t="n">
        <f aca="false">NORMSDIST((NORMSINV($C$5)-SQRT($C$7)*B19)/SQRT(1-$C$7))</f>
        <v>0.119519262642504</v>
      </c>
      <c r="E19" s="5" t="n">
        <v>0.25</v>
      </c>
      <c r="F19" s="13" t="n">
        <f aca="false">NORMSDIST((NORMSINV($C$5)+SQRT($C$7)*NORMSINV(E19))/SQRT(1-$C$7))</f>
        <v>0.00602040866995268</v>
      </c>
      <c r="G19" s="13" t="n">
        <f aca="false">$C$6*F19</f>
        <v>0.0027091839014787</v>
      </c>
    </row>
    <row r="20" customFormat="false" ht="15" hidden="false" customHeight="false" outlineLevel="0" collapsed="false">
      <c r="B20" s="12" t="n">
        <v>-2</v>
      </c>
      <c r="C20" s="9" t="n">
        <f aca="false">NORMSDIST((NORMSINV($C$5)-SQRT($C$7)*B20)/SQRT(1-$C$7))</f>
        <v>0.0826545173606738</v>
      </c>
      <c r="E20" s="5" t="n">
        <v>0.5</v>
      </c>
      <c r="F20" s="13" t="n">
        <f aca="false">NORMSDIST((NORMSINV($C$5)+SQRT($C$7)*NORMSINV(E20))/SQRT(1-$C$7))</f>
        <v>0.0129534849657455</v>
      </c>
      <c r="G20" s="13" t="n">
        <f aca="false">$C$6*F20</f>
        <v>0.00582906823458546</v>
      </c>
    </row>
    <row r="21" customFormat="false" ht="15" hidden="false" customHeight="false" outlineLevel="0" collapsed="false">
      <c r="B21" s="12" t="n">
        <v>-1.5</v>
      </c>
      <c r="C21" s="9" t="n">
        <f aca="false">NORMSDIST((NORMSINV($C$5)-SQRT($C$7)*B21)/SQRT(1-$C$7))</f>
        <v>0.0550796635842415</v>
      </c>
      <c r="E21" s="5" t="n">
        <v>0.75</v>
      </c>
      <c r="F21" s="13" t="n">
        <f aca="false">NORMSDIST((NORMSINV($C$5)+SQRT($C$7)*NORMSINV(E21))/SQRT(1-$C$7))</f>
        <v>0.0259319872552982</v>
      </c>
      <c r="G21" s="13" t="n">
        <f aca="false">$C$6*F21</f>
        <v>0.0116693942648842</v>
      </c>
    </row>
    <row r="22" customFormat="false" ht="15" hidden="false" customHeight="false" outlineLevel="0" collapsed="false">
      <c r="B22" s="12" t="n">
        <v>-1</v>
      </c>
      <c r="C22" s="9" t="n">
        <f aca="false">NORMSDIST((NORMSINV($C$5)-SQRT($C$7)*B22)/SQRT(1-$C$7))</f>
        <v>0.0353406638343807</v>
      </c>
      <c r="E22" s="5" t="n">
        <v>0.9</v>
      </c>
      <c r="F22" s="13" t="n">
        <f aca="false">NORMSDIST((NORMSINV($C$5)+SQRT($C$7)*NORMSINV(E22))/SQRT(1-$C$7))</f>
        <v>0.0455863288658717</v>
      </c>
      <c r="G22" s="13" t="n">
        <f aca="false">$C$6*F22</f>
        <v>0.0205138479896423</v>
      </c>
    </row>
    <row r="23" customFormat="false" ht="15" hidden="false" customHeight="false" outlineLevel="0" collapsed="false">
      <c r="B23" s="12" t="n">
        <v>-0.5</v>
      </c>
      <c r="C23" s="9" t="n">
        <f aca="false">NORMSDIST((NORMSINV($C$5)-SQRT($C$7)*B23)/SQRT(1-$C$7))</f>
        <v>0.0218184778558494</v>
      </c>
      <c r="E23" s="5" t="n">
        <v>0.95</v>
      </c>
      <c r="F23" s="13" t="n">
        <f aca="false">NORMSDIST((NORMSINV($C$5)+SQRT($C$7)*NORMSINV(E23))/SQRT(1-$C$7))</f>
        <v>0.0621923721408521</v>
      </c>
      <c r="G23" s="13" t="n">
        <f aca="false">$C$6*F23</f>
        <v>0.0279865674633834</v>
      </c>
    </row>
    <row r="24" customFormat="false" ht="15" hidden="false" customHeight="false" outlineLevel="0" collapsed="false">
      <c r="B24" s="12" t="n">
        <v>0</v>
      </c>
      <c r="C24" s="9" t="n">
        <f aca="false">NORMSDIST((NORMSINV($C$5)-SQRT($C$7)*B24)/SQRT(1-$C$7))</f>
        <v>0.0129534849657455</v>
      </c>
      <c r="E24" s="5" t="n">
        <v>0.99</v>
      </c>
      <c r="F24" s="13" t="n">
        <f aca="false">NORMSDIST((NORMSINV($C$5)+SQRT($C$7)*NORMSINV(E24))/SQRT(1-$C$7))</f>
        <v>0.105587343272321</v>
      </c>
      <c r="G24" s="13" t="n">
        <f aca="false">$C$6*F24</f>
        <v>0.0475143044725444</v>
      </c>
    </row>
    <row r="25" customFormat="false" ht="15" hidden="false" customHeight="false" outlineLevel="0" collapsed="false">
      <c r="B25" s="12" t="n">
        <v>0.5</v>
      </c>
      <c r="C25" s="9" t="n">
        <f aca="false">NORMSDIST((NORMSINV($C$5)-SQRT($C$7)*B25)/SQRT(1-$C$7))</f>
        <v>0.00739163239309923</v>
      </c>
      <c r="E25" s="5" t="n">
        <v>0.995</v>
      </c>
      <c r="F25" s="13" t="n">
        <f aca="false">NORMSDIST((NORMSINV($C$5)+SQRT($C$7)*NORMSINV(E25))/SQRT(1-$C$7))</f>
        <v>0.125993033777198</v>
      </c>
      <c r="G25" s="13" t="n">
        <f aca="false">$C$6*F25</f>
        <v>0.0566968651997389</v>
      </c>
    </row>
    <row r="26" customFormat="false" ht="15" hidden="false" customHeight="false" outlineLevel="0" collapsed="false">
      <c r="B26" s="12" t="n">
        <v>1</v>
      </c>
      <c r="C26" s="9" t="n">
        <f aca="false">NORMSDIST((NORMSINV($C$5)-SQRT($C$7)*B26)/SQRT(1-$C$7))</f>
        <v>0.0040522203716071</v>
      </c>
      <c r="E26" s="5" t="n">
        <v>0.999</v>
      </c>
      <c r="F26" s="13" t="n">
        <f aca="false">NORMSDIST((NORMSINV($C$5)+SQRT($C$7)*NORMSINV(E26))/SQRT(1-$C$7))</f>
        <v>0.176328939146198</v>
      </c>
      <c r="G26" s="13" t="n">
        <f aca="false">$C$6*F26</f>
        <v>0.0793480226157892</v>
      </c>
    </row>
    <row r="27" customFormat="false" ht="15" hidden="false" customHeight="false" outlineLevel="0" collapsed="false">
      <c r="B27" s="12" t="n">
        <v>1.5</v>
      </c>
      <c r="C27" s="9" t="n">
        <f aca="false">NORMSDIST((NORMSINV($C$5)-SQRT($C$7)*B27)/SQRT(1-$C$7))</f>
        <v>0.00213341981181273</v>
      </c>
      <c r="E27" s="5" t="n">
        <v>0.9995</v>
      </c>
      <c r="F27" s="13" t="n">
        <f aca="false">NORMSDIST((NORMSINV($C$5)+SQRT($C$7)*NORMSINV(E27))/SQRT(1-$C$7))</f>
        <v>0.198970077775607</v>
      </c>
      <c r="G27" s="13" t="n">
        <f aca="false">$C$6*F27</f>
        <v>0.0895365349990234</v>
      </c>
    </row>
    <row r="28" customFormat="false" ht="15" hidden="false" customHeight="false" outlineLevel="0" collapsed="false">
      <c r="B28" s="12" t="n">
        <v>2</v>
      </c>
      <c r="C28" s="9" t="n">
        <f aca="false">NORMSDIST((NORMSINV($C$5)-SQRT($C$7)*B28)/SQRT(1-$C$7))</f>
        <v>0.00107830724494225</v>
      </c>
    </row>
    <row r="29" customFormat="false" ht="15" hidden="false" customHeight="false" outlineLevel="0" collapsed="false">
      <c r="B29" s="12" t="n">
        <v>2.5</v>
      </c>
      <c r="C29" s="9" t="n">
        <f aca="false">NORMSDIST((NORMSINV($C$5)-SQRT($C$7)*B29)/SQRT(1-$C$7))</f>
        <v>0.000523072412807963</v>
      </c>
    </row>
    <row r="30" customFormat="false" ht="15" hidden="false" customHeight="false" outlineLevel="0" collapsed="false">
      <c r="B30" s="12" t="n">
        <v>3</v>
      </c>
      <c r="C30" s="9" t="n">
        <f aca="false">NORMSDIST((NORMSINV($C$5)-SQRT($C$7)*B30)/SQRT(1-$C$7))</f>
        <v>0.000243455545062744</v>
      </c>
    </row>
    <row r="31" customFormat="false" ht="15" hidden="false" customHeight="false" outlineLevel="0" collapsed="false">
      <c r="B31" s="2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M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5" min="5" style="0" width="8"/>
    <col collapsed="false" customWidth="true" hidden="false" outlineLevel="0" max="8" min="6" style="0" width="10"/>
    <col collapsed="false" customWidth="true" hidden="false" outlineLevel="0" max="9" min="9" style="0" width="11"/>
    <col collapsed="false" customWidth="true" hidden="false" outlineLevel="0" max="10" min="10" style="0" width="9"/>
    <col collapsed="false" customWidth="true" hidden="false" outlineLevel="0" max="11" min="11" style="0" width="14"/>
    <col collapsed="false" customWidth="true" hidden="false" outlineLevel="0" max="12" min="12" style="0" width="13"/>
  </cols>
  <sheetData>
    <row r="2" customFormat="false" ht="16.15" hidden="false" customHeight="false" outlineLevel="0" collapsed="false">
      <c r="B2" s="1" t="s">
        <v>44</v>
      </c>
    </row>
    <row r="3" customFormat="false" ht="15" hidden="false" customHeight="false" outlineLevel="0" collapsed="false">
      <c r="B3" s="2" t="s">
        <v>45</v>
      </c>
    </row>
    <row r="5" customFormat="false" ht="23.85" hidden="false" customHeight="false" outlineLevel="0" collapsed="false">
      <c r="B5" s="14" t="s">
        <v>46</v>
      </c>
      <c r="C5" s="14" t="s">
        <v>47</v>
      </c>
      <c r="D5" s="14" t="s">
        <v>48</v>
      </c>
      <c r="E5" s="14" t="s">
        <v>27</v>
      </c>
      <c r="F5" s="14" t="s">
        <v>49</v>
      </c>
      <c r="G5" s="14" t="s">
        <v>50</v>
      </c>
      <c r="H5" s="14" t="s">
        <v>51</v>
      </c>
      <c r="I5" s="14" t="s">
        <v>52</v>
      </c>
      <c r="J5" s="14" t="s">
        <v>53</v>
      </c>
      <c r="K5" s="14" t="s">
        <v>54</v>
      </c>
      <c r="L5" s="14" t="s">
        <v>55</v>
      </c>
      <c r="M5" s="14" t="s">
        <v>56</v>
      </c>
    </row>
    <row r="6" customFormat="false" ht="15" hidden="false" customHeight="false" outlineLevel="0" collapsed="false">
      <c r="B6" s="10" t="s">
        <v>57</v>
      </c>
      <c r="C6" s="15" t="n">
        <v>10000000</v>
      </c>
      <c r="D6" s="5" t="n">
        <v>0.001</v>
      </c>
      <c r="E6" s="6" t="n">
        <v>0.45</v>
      </c>
      <c r="F6" s="12" t="n">
        <v>3</v>
      </c>
      <c r="G6" s="16" t="n">
        <f aca="false">0.12*(1-EXP(-50*MAX(D6,0.0003)))/(1-EXP(-50))+0.24*(1-(1-EXP(-50*MAX(D6,0.0003)))/(1-EXP(-50)))</f>
        <v>0.234147530940086</v>
      </c>
      <c r="H6" s="17" t="n">
        <f aca="false">(0.11852-0.05478*LN(MAX(D6,0.0003)))^2</f>
        <v>0.246936278530782</v>
      </c>
      <c r="I6" s="18" t="n">
        <f aca="false">(1+(F6-2.5)*H6)/(1-1.5*H6)</f>
        <v>1.78442824413224</v>
      </c>
      <c r="J6" s="9" t="n">
        <f aca="false">(E6*NORMSDIST((NORMSINV(MAX(D6,0.0003))+SQRT(G6)*NORMSINV(0.999))/SQRT(1-G6))-MAX(D6,0.0003)*E6)*I6</f>
        <v>0.0266522533746842</v>
      </c>
      <c r="K6" s="19" t="n">
        <f aca="false">J6*12.5</f>
        <v>0.333153167183552</v>
      </c>
      <c r="L6" s="20" t="n">
        <f aca="false">K6*C6</f>
        <v>3331531.67183552</v>
      </c>
      <c r="M6" s="20" t="n">
        <f aca="false">0.08*L6</f>
        <v>266522.533746842</v>
      </c>
    </row>
    <row r="7" customFormat="false" ht="15" hidden="false" customHeight="false" outlineLevel="0" collapsed="false">
      <c r="B7" s="10" t="s">
        <v>58</v>
      </c>
      <c r="C7" s="15" t="n">
        <v>8000000</v>
      </c>
      <c r="D7" s="5" t="n">
        <v>0.0025</v>
      </c>
      <c r="E7" s="6" t="n">
        <v>0.45</v>
      </c>
      <c r="F7" s="12" t="n">
        <v>5</v>
      </c>
      <c r="G7" s="16" t="n">
        <f aca="false">0.12*(1-EXP(-50*MAX(D7,0.0003)))/(1-EXP(-50))+0.24*(1-(1-EXP(-50*MAX(D7,0.0003)))/(1-EXP(-50)))</f>
        <v>0.225899628310151</v>
      </c>
      <c r="H7" s="17" t="n">
        <f aca="false">(0.11852-0.05478*LN(MAX(D7,0.0003)))^2</f>
        <v>0.199569862129008</v>
      </c>
      <c r="I7" s="18" t="n">
        <f aca="false">(1+(F7-2.5)*H7)/(1-1.5*H7)</f>
        <v>2.13934904679439</v>
      </c>
      <c r="J7" s="9" t="n">
        <f aca="false">(E7*NORMSDIST((NORMSINV(MAX(D7,0.0003))+SQRT(G7)*NORMSINV(0.999))/SQRT(1-G7))-MAX(D7,0.0003)*E7)*I7</f>
        <v>0.0593234135950297</v>
      </c>
      <c r="K7" s="19" t="n">
        <f aca="false">J7*12.5</f>
        <v>0.741542669937872</v>
      </c>
      <c r="L7" s="20" t="n">
        <f aca="false">K7*C7</f>
        <v>5932341.35950297</v>
      </c>
      <c r="M7" s="20" t="n">
        <f aca="false">0.08*L7</f>
        <v>474587.308760238</v>
      </c>
    </row>
    <row r="8" customFormat="false" ht="15" hidden="false" customHeight="false" outlineLevel="0" collapsed="false">
      <c r="B8" s="10" t="s">
        <v>59</v>
      </c>
      <c r="C8" s="15" t="n">
        <v>12000000</v>
      </c>
      <c r="D8" s="5" t="n">
        <v>0.005</v>
      </c>
      <c r="E8" s="6" t="n">
        <v>0.4</v>
      </c>
      <c r="F8" s="12" t="n">
        <v>2.5</v>
      </c>
      <c r="G8" s="16" t="n">
        <f aca="false">0.12*(1-EXP(-50*MAX(D8,0.0003)))/(1-EXP(-50))+0.24*(1-(1-EXP(-50*MAX(D8,0.0003)))/(1-EXP(-50)))</f>
        <v>0.213456093968569</v>
      </c>
      <c r="H8" s="17" t="n">
        <f aca="false">(0.11852-0.05478*LN(MAX(D8,0.0003)))^2</f>
        <v>0.167086229854881</v>
      </c>
      <c r="I8" s="18" t="n">
        <f aca="false">(1+(F8-2.5)*H8)/(1-1.5*H8)</f>
        <v>1.33445310813448</v>
      </c>
      <c r="J8" s="9" t="n">
        <f aca="false">(E8*NORMSDIST((NORMSINV(MAX(D8,0.0003))+SQRT(G8)*NORMSINV(0.999))/SQRT(1-G8))-MAX(D8,0.0003)*E8)*I8</f>
        <v>0.0495016791979461</v>
      </c>
      <c r="K8" s="19" t="n">
        <f aca="false">J8*12.5</f>
        <v>0.618770989974327</v>
      </c>
      <c r="L8" s="20" t="n">
        <f aca="false">K8*C8</f>
        <v>7425251.87969192</v>
      </c>
      <c r="M8" s="20" t="n">
        <f aca="false">0.08*L8</f>
        <v>594020.150375354</v>
      </c>
    </row>
    <row r="9" customFormat="false" ht="15" hidden="false" customHeight="false" outlineLevel="0" collapsed="false">
      <c r="B9" s="10" t="s">
        <v>60</v>
      </c>
      <c r="C9" s="15" t="n">
        <v>6000000</v>
      </c>
      <c r="D9" s="5" t="n">
        <v>0.015</v>
      </c>
      <c r="E9" s="6" t="n">
        <v>0.45</v>
      </c>
      <c r="F9" s="12" t="n">
        <v>4</v>
      </c>
      <c r="G9" s="16" t="n">
        <f aca="false">0.12*(1-EXP(-50*MAX(D9,0.0003)))/(1-EXP(-50))+0.24*(1-(1-EXP(-50*MAX(D9,0.0003)))/(1-EXP(-50)))</f>
        <v>0.176683986328922</v>
      </c>
      <c r="H9" s="17" t="n">
        <f aca="false">(0.11852-0.05478*LN(MAX(D9,0.0003)))^2</f>
        <v>0.121507907758976</v>
      </c>
      <c r="I9" s="18" t="n">
        <f aca="false">(1+(F9-2.5)*H9)/(1-1.5*H9)</f>
        <v>1.4457707255862</v>
      </c>
      <c r="J9" s="9" t="n">
        <f aca="false">(E9*NORMSDIST((NORMSINV(MAX(D9,0.0003))+SQRT(G9)*NORMSINV(0.999))/SQRT(1-G9))-MAX(D9,0.0003)*E9)*I9</f>
        <v>0.0998709406868478</v>
      </c>
      <c r="K9" s="19" t="n">
        <f aca="false">J9*12.5</f>
        <v>1.2483867585856</v>
      </c>
      <c r="L9" s="20" t="n">
        <f aca="false">K9*C9</f>
        <v>7490320.55151358</v>
      </c>
      <c r="M9" s="20" t="n">
        <f aca="false">0.08*L9</f>
        <v>599225.644121087</v>
      </c>
    </row>
    <row r="10" customFormat="false" ht="15" hidden="false" customHeight="false" outlineLevel="0" collapsed="false">
      <c r="B10" s="10" t="s">
        <v>61</v>
      </c>
      <c r="C10" s="15" t="n">
        <v>5000000</v>
      </c>
      <c r="D10" s="5" t="n">
        <v>0.025</v>
      </c>
      <c r="E10" s="6" t="n">
        <v>0.5</v>
      </c>
      <c r="F10" s="12" t="n">
        <v>1.5</v>
      </c>
      <c r="G10" s="16" t="n">
        <f aca="false">0.12*(1-EXP(-50*MAX(D10,0.0003)))/(1-EXP(-50))+0.24*(1-(1-EXP(-50*MAX(D10,0.0003)))/(1-EXP(-50)))</f>
        <v>0.154380575623223</v>
      </c>
      <c r="H10" s="17" t="n">
        <f aca="false">(0.11852-0.05478*LN(MAX(D10,0.0003)))^2</f>
        <v>0.102782318747602</v>
      </c>
      <c r="I10" s="18" t="n">
        <f aca="false">(1+(F10-2.5)*H10)/(1-1.5*H10)</f>
        <v>1.06075851021987</v>
      </c>
      <c r="J10" s="9" t="n">
        <f aca="false">(E10*NORMSDIST((NORMSINV(MAX(D10,0.0003))+SQRT(G10)*NORMSINV(0.999))/SQRT(1-G10))-MAX(D10,0.0003)*E10)*I10</f>
        <v>0.0974222508003726</v>
      </c>
      <c r="K10" s="19" t="n">
        <f aca="false">J10*12.5</f>
        <v>1.21777813500466</v>
      </c>
      <c r="L10" s="20" t="n">
        <f aca="false">K10*C10</f>
        <v>6088890.67502329</v>
      </c>
      <c r="M10" s="20" t="n">
        <f aca="false">0.08*L10</f>
        <v>487111.254001863</v>
      </c>
    </row>
    <row r="11" customFormat="false" ht="15" hidden="false" customHeight="false" outlineLevel="0" collapsed="false">
      <c r="B11" s="10" t="s">
        <v>62</v>
      </c>
      <c r="C11" s="15" t="n">
        <v>4000000</v>
      </c>
      <c r="D11" s="5" t="n">
        <v>0.045</v>
      </c>
      <c r="E11" s="6" t="n">
        <v>0.55</v>
      </c>
      <c r="F11" s="12" t="n">
        <v>3.5</v>
      </c>
      <c r="G11" s="16" t="n">
        <f aca="false">0.12*(1-EXP(-50*MAX(D11,0.0003)))/(1-EXP(-50))+0.24*(1-(1-EXP(-50*MAX(D11,0.0003)))/(1-EXP(-50)))</f>
        <v>0.132647906947424</v>
      </c>
      <c r="H11" s="17" t="n">
        <f aca="false">(0.11852-0.05478*LN(MAX(D11,0.0003)))^2</f>
        <v>0.0831733273789427</v>
      </c>
      <c r="I11" s="18" t="n">
        <f aca="false">(1+(F11-2.5)*H11)/(1-1.5*H11)</f>
        <v>1.2375729129444</v>
      </c>
      <c r="J11" s="9" t="n">
        <f aca="false">(E11*NORMSDIST((NORMSINV(MAX(D11,0.0003))+SQRT(G11)*NORMSINV(0.999))/SQRT(1-G11))-MAX(D11,0.0003)*E11)*I11</f>
        <v>0.153346622292246</v>
      </c>
      <c r="K11" s="19" t="n">
        <f aca="false">J11*12.5</f>
        <v>1.91683277865307</v>
      </c>
      <c r="L11" s="20" t="n">
        <f aca="false">K11*C11</f>
        <v>7667331.11461228</v>
      </c>
      <c r="M11" s="20" t="n">
        <f aca="false">0.08*L11</f>
        <v>613386.489168982</v>
      </c>
    </row>
    <row r="12" customFormat="false" ht="15" hidden="false" customHeight="false" outlineLevel="0" collapsed="false">
      <c r="B12" s="10" t="s">
        <v>63</v>
      </c>
      <c r="C12" s="15" t="n">
        <v>3000000</v>
      </c>
      <c r="D12" s="5" t="n">
        <v>0.07</v>
      </c>
      <c r="E12" s="6" t="n">
        <v>0.6</v>
      </c>
      <c r="F12" s="12" t="n">
        <v>2</v>
      </c>
      <c r="G12" s="16" t="n">
        <f aca="false">0.12*(1-EXP(-50*MAX(D12,0.0003)))/(1-EXP(-50))+0.24*(1-(1-EXP(-50*MAX(D12,0.0003)))/(1-EXP(-50)))</f>
        <v>0.123623686010678</v>
      </c>
      <c r="H12" s="17" t="n">
        <f aca="false">(0.11852-0.05478*LN(MAX(D12,0.0003)))^2</f>
        <v>0.0697986095654593</v>
      </c>
      <c r="I12" s="18" t="n">
        <f aca="false">(1+(F12-2.5)*H12)/(1-1.5*H12)</f>
        <v>1.077960959417</v>
      </c>
      <c r="J12" s="9" t="n">
        <f aca="false">(E12*NORMSDIST((NORMSINV(MAX(D12,0.0003))+SQRT(G12)*NORMSINV(0.999))/SQRT(1-G12))-MAX(D12,0.0003)*E12)*I12</f>
        <v>0.17383706835076</v>
      </c>
      <c r="K12" s="19" t="n">
        <f aca="false">J12*12.5</f>
        <v>2.1729633543845</v>
      </c>
      <c r="L12" s="20" t="n">
        <f aca="false">K12*C12</f>
        <v>6518890.06315351</v>
      </c>
      <c r="M12" s="20" t="n">
        <f aca="false">0.08*L12</f>
        <v>521511.205052281</v>
      </c>
    </row>
    <row r="13" customFormat="false" ht="15" hidden="false" customHeight="false" outlineLevel="0" collapsed="false">
      <c r="B13" s="10" t="s">
        <v>64</v>
      </c>
      <c r="C13" s="15" t="n">
        <v>2000000</v>
      </c>
      <c r="D13" s="5" t="n">
        <v>0.15</v>
      </c>
      <c r="E13" s="6" t="n">
        <v>0.65</v>
      </c>
      <c r="F13" s="12" t="n">
        <v>1</v>
      </c>
      <c r="G13" s="16" t="n">
        <f aca="false">0.12*(1-EXP(-50*MAX(D13,0.0003)))/(1-EXP(-50))+0.24*(1-(1-EXP(-50*MAX(D13,0.0003)))/(1-EXP(-50)))</f>
        <v>0.120066370124418</v>
      </c>
      <c r="H13" s="17" t="n">
        <f aca="false">(0.11852-0.05478*LN(MAX(D13,0.0003)))^2</f>
        <v>0.0494814366935453</v>
      </c>
      <c r="I13" s="18" t="n">
        <f aca="false">(1+(F13-2.5)*H13)/(1-1.5*H13)</f>
        <v>1</v>
      </c>
      <c r="J13" s="9" t="n">
        <f aca="false">(E13*NORMSDIST((NORMSINV(MAX(D13,0.0003))+SQRT(G13)*NORMSINV(0.999))/SQRT(1-G13))-MAX(D13,0.0003)*E13)*I13</f>
        <v>0.2369936711138</v>
      </c>
      <c r="K13" s="19" t="n">
        <f aca="false">J13*12.5</f>
        <v>2.96242088892249</v>
      </c>
      <c r="L13" s="20" t="n">
        <f aca="false">K13*C13</f>
        <v>5924841.77784499</v>
      </c>
      <c r="M13" s="20" t="n">
        <f aca="false">0.08*L13</f>
        <v>473987.342227599</v>
      </c>
    </row>
    <row r="14" customFormat="false" ht="15" hidden="false" customHeight="false" outlineLevel="0" collapsed="false">
      <c r="B14" s="10" t="s">
        <v>65</v>
      </c>
      <c r="C14" s="21" t="n">
        <f aca="false">SUM(C6:C13)</f>
        <v>50000000</v>
      </c>
      <c r="L14" s="21" t="n">
        <f aca="false">SUM(L6:L13)</f>
        <v>50379399.0931781</v>
      </c>
      <c r="M14" s="21" t="n">
        <f aca="false">SUM(M6:M13)</f>
        <v>4030351.92745425</v>
      </c>
    </row>
    <row r="15" customFormat="false" ht="15" hidden="false" customHeight="false" outlineLevel="0" collapsed="false">
      <c r="B15" s="4" t="s">
        <v>66</v>
      </c>
      <c r="C15" s="16" t="n">
        <f aca="false">L14/C14</f>
        <v>1.00758798186356</v>
      </c>
    </row>
    <row r="17" customFormat="false" ht="15" hidden="false" customHeight="false" outlineLevel="0" collapsed="false">
      <c r="B17" s="2" t="s">
        <v>67</v>
      </c>
    </row>
    <row r="18" customFormat="false" ht="15" hidden="false" customHeight="false" outlineLevel="0" collapsed="false">
      <c r="B18" s="2" t="s">
        <v>68</v>
      </c>
    </row>
    <row r="19" customFormat="false" ht="15" hidden="false" customHeight="false" outlineLevel="0" collapsed="false">
      <c r="B19" s="2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2026-07-14T01:59:46Z</dcterms:created>
  <dc:creator>openpyxl</dc:creator>
  <dc:description/>
  <dc:language>en-US</dc:language>
  <cp:lastModifiedBy/>
  <dcterms:modified xsi:type="dcterms:W3CDTF">2026-07-14T01:59:48Z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