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odoslay/Local Documents/Codes/ClCoude/RodoSlayBlog/public/downloads/"/>
    </mc:Choice>
  </mc:AlternateContent>
  <xr:revisionPtr revIDLastSave="0" documentId="13_ncr:1_{E09A10B5-85B5-4149-A23C-DD9420AE7FFC}" xr6:coauthVersionLast="47" xr6:coauthVersionMax="47" xr10:uidLastSave="{00000000-0000-0000-0000-000000000000}"/>
  <bookViews>
    <workbookView xWindow="0" yWindow="600" windowWidth="24980" windowHeight="16320" tabRatio="500" xr2:uid="{00000000-000D-0000-FFFF-FFFF00000000}"/>
  </bookViews>
  <sheets>
    <sheet name="Start Here" sheetId="1" r:id="rId1"/>
    <sheet name="Budget" sheetId="2" r:id="rId2"/>
    <sheet name="Planned Savings" sheetId="3" r:id="rId3"/>
    <sheet name="Net Worth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9" i="4" l="1"/>
  <c r="G39" i="4" s="1"/>
  <c r="F38" i="4"/>
  <c r="G38" i="4" s="1"/>
  <c r="F37" i="4"/>
  <c r="G37" i="4" s="1"/>
  <c r="F36" i="4"/>
  <c r="G36" i="4" s="1"/>
  <c r="F35" i="4"/>
  <c r="G35" i="4" s="1"/>
  <c r="F34" i="4"/>
  <c r="F33" i="4"/>
  <c r="G34" i="4" s="1"/>
  <c r="F32" i="4"/>
  <c r="G32" i="4" s="1"/>
  <c r="F31" i="4"/>
  <c r="G31" i="4" s="1"/>
  <c r="F30" i="4"/>
  <c r="G30" i="4" s="1"/>
  <c r="F29" i="4"/>
  <c r="G29" i="4" s="1"/>
  <c r="F28" i="4"/>
  <c r="C22" i="4"/>
  <c r="C14" i="4"/>
  <c r="C24" i="4" s="1"/>
  <c r="C28" i="3"/>
  <c r="C29" i="3" s="1"/>
  <c r="G18" i="3"/>
  <c r="F11" i="3"/>
  <c r="G11" i="3" s="1"/>
  <c r="F10" i="3"/>
  <c r="G10" i="3" s="1"/>
  <c r="F9" i="3"/>
  <c r="G9" i="3" s="1"/>
  <c r="F8" i="3"/>
  <c r="G8" i="3" s="1"/>
  <c r="F7" i="3"/>
  <c r="G7" i="3" s="1"/>
  <c r="F46" i="2"/>
  <c r="F43" i="2"/>
  <c r="E43" i="2"/>
  <c r="F39" i="2"/>
  <c r="E39" i="2"/>
  <c r="F37" i="2"/>
  <c r="E37" i="2"/>
  <c r="F35" i="2"/>
  <c r="E35" i="2"/>
  <c r="F32" i="2"/>
  <c r="E32" i="2"/>
  <c r="F28" i="2"/>
  <c r="E28" i="2"/>
  <c r="G25" i="2"/>
  <c r="F25" i="2"/>
  <c r="E25" i="2"/>
  <c r="F23" i="2"/>
  <c r="E23" i="2"/>
  <c r="F19" i="2"/>
  <c r="E19" i="2"/>
  <c r="F16" i="2"/>
  <c r="F52" i="2" s="1"/>
  <c r="E16" i="2"/>
  <c r="F12" i="2"/>
  <c r="F11" i="2"/>
  <c r="E11" i="2"/>
  <c r="F10" i="2"/>
  <c r="F13" i="2" s="1"/>
  <c r="E10" i="2"/>
  <c r="F7" i="2"/>
  <c r="E7" i="2"/>
  <c r="F53" i="2" l="1"/>
  <c r="G12" i="3"/>
  <c r="F23" i="3" s="1"/>
  <c r="E47" i="2" s="1"/>
  <c r="G24" i="2"/>
  <c r="H37" i="2"/>
  <c r="G45" i="2"/>
  <c r="G33" i="4"/>
  <c r="G48" i="2"/>
  <c r="G21" i="2"/>
  <c r="G35" i="2"/>
  <c r="H35" i="2" s="1"/>
  <c r="G42" i="2"/>
  <c r="G49" i="2"/>
  <c r="G30" i="2"/>
  <c r="G11" i="2"/>
  <c r="G17" i="2"/>
  <c r="G38" i="2"/>
  <c r="H11" i="2"/>
  <c r="G18" i="2"/>
  <c r="G32" i="2"/>
  <c r="H32" i="2" s="1"/>
  <c r="H25" i="2"/>
  <c r="G33" i="2"/>
  <c r="G39" i="2"/>
  <c r="H39" i="2" s="1"/>
  <c r="G19" i="2"/>
  <c r="G26" i="2"/>
  <c r="G34" i="2"/>
  <c r="H19" i="2"/>
  <c r="G27" i="2"/>
  <c r="G40" i="2"/>
  <c r="G47" i="2"/>
  <c r="H28" i="2"/>
  <c r="G36" i="2"/>
  <c r="G22" i="2"/>
  <c r="G28" i="2"/>
  <c r="G50" i="2"/>
  <c r="G10" i="2"/>
  <c r="H10" i="2" s="1"/>
  <c r="G29" i="2"/>
  <c r="G43" i="2"/>
  <c r="H43" i="2" s="1"/>
  <c r="G20" i="2"/>
  <c r="G41" i="2"/>
  <c r="G23" i="2"/>
  <c r="G16" i="2"/>
  <c r="H16" i="2" s="1"/>
  <c r="H23" i="2"/>
  <c r="G31" i="2"/>
  <c r="G37" i="2"/>
  <c r="G44" i="2"/>
  <c r="E12" i="2" l="1"/>
  <c r="E46" i="2"/>
  <c r="G46" i="2" l="1"/>
  <c r="H46" i="2" s="1"/>
  <c r="E52" i="2"/>
  <c r="E13" i="2"/>
  <c r="G12" i="2"/>
  <c r="H12" i="2" s="1"/>
  <c r="G13" i="2" l="1"/>
  <c r="E14" i="2"/>
  <c r="E53" i="2"/>
  <c r="G52" i="2"/>
</calcChain>
</file>

<file path=xl/sharedStrings.xml><?xml version="1.0" encoding="utf-8"?>
<sst xmlns="http://schemas.openxmlformats.org/spreadsheetml/2006/main" count="194" uniqueCount="164">
  <si>
    <t>Personal Budget Planner</t>
  </si>
  <si>
    <t>A simple monthly budget with recommended percentage guides, planned savings (sinking funds), and a net-worth tracker.</t>
  </si>
  <si>
    <t>HOW TO USE — 5 STEPS</t>
  </si>
  <si>
    <t>1.</t>
  </si>
  <si>
    <t>On the Budget sheet, enter your monthly take-home income (what actually lands in your account after taxes).</t>
  </si>
  <si>
    <t>2.</t>
  </si>
  <si>
    <t>Set a planned amount for each spending category. Compare your plan against the recommended % ranges — they are guides from reputable sources, not laws. Your city, family size, and season of life all matter.</t>
  </si>
  <si>
    <t>3.</t>
  </si>
  <si>
    <t>On the Planned Savings sheet, list your sinking funds — money you set aside monthly for expenses that don't arrive monthly (insurance renewals, predial, Christmas, a future car). The monthly total flows back into the Budget sheet automatically.</t>
  </si>
  <si>
    <t>4.</t>
  </si>
  <si>
    <t>Once a month: record what you actually spent in the Actual column, and update the Net Worth sheet (assets minus liabilities). Watching net worth move is the single best long-term scoreboard.</t>
  </si>
  <si>
    <t>5.</t>
  </si>
  <si>
    <t>Aim for 'Left to assign' = $0 on the Budget sheet: every peso gets a job before the month starts (zero-based budgeting).</t>
  </si>
  <si>
    <t>COLOR LEGEND</t>
  </si>
  <si>
    <t>BLUE text = cells for you to edit (they contain example values now)</t>
  </si>
  <si>
    <t>BLACK text = formulas — please don't overwrite them</t>
  </si>
  <si>
    <t>GREEN text = pulled automatically from another sheet</t>
  </si>
  <si>
    <t>YELLOW fill = the key numbers to watch</t>
  </si>
  <si>
    <t>CURRENCY</t>
  </si>
  <si>
    <t>Example numbers are in Mexican pesos (MXN). The $ symbol works for any currency — just type your own numbers. All percentages are calculated on monthly take-home income.</t>
  </si>
  <si>
    <t>WHERE THE RECOMMENDED RANGES COME FROM</t>
  </si>
  <si>
    <t>50/30/20 rule: Elizabeth Warren &amp; Amelia Warren Tyagi, 'All Your Worth' (2005) — max 50% of take-home on needs, ~30% wants, min 20% savings &amp; debt payoff.</t>
  </si>
  <si>
    <t>Category ranges: synthesis of Dave Ramsey's recommended budget percentages (ramseysolutions.com), NerdWallet's 50/30/20 calculator, and Fidelity's 60/30/10 + 15%-to-retirement guideline (fidelity.com). Full discussion and sources in the article at rodoslay.com/personal-finance.</t>
  </si>
  <si>
    <t>This spreadsheet is educational material, not financial advice.</t>
  </si>
  <si>
    <t>Monthly Budget — Plan vs. Actual</t>
  </si>
  <si>
    <t>All percentages are of monthly take-home income. Recommended ranges are guides, not laws.</t>
  </si>
  <si>
    <t>INCOME</t>
  </si>
  <si>
    <t>Planned</t>
  </si>
  <si>
    <t>Actual</t>
  </si>
  <si>
    <t>Salary / payroll (take-home)</t>
  </si>
  <si>
    <t>What lands in your account after taxes</t>
  </si>
  <si>
    <t>Other income (freelance, rent, etc.)</t>
  </si>
  <si>
    <t>TOTAL MONTHLY INCOME</t>
  </si>
  <si>
    <t>THE BIG PICTURE — 50/30/20 CHECK</t>
  </si>
  <si>
    <t>Guide %</t>
  </si>
  <si>
    <t>Plan %</t>
  </si>
  <si>
    <t>Status</t>
  </si>
  <si>
    <t>Needs — housing, food, transport, insurance, minimums</t>
  </si>
  <si>
    <t>≤ 50%</t>
  </si>
  <si>
    <t>Wants — lifestyle, entertainment, giving</t>
  </si>
  <si>
    <t>~ 30%</t>
  </si>
  <si>
    <t>Savings &amp; extra debt payoff</t>
  </si>
  <si>
    <t>≥ 20%</t>
  </si>
  <si>
    <t>Total planned</t>
  </si>
  <si>
    <t>Left to assign  (aim for exactly $0 — every peso gets a job)</t>
  </si>
  <si>
    <t>SPENDING PLAN — DETAIL</t>
  </si>
  <si>
    <t>Notes</t>
  </si>
  <si>
    <t>Rec. low</t>
  </si>
  <si>
    <t>Rec. high</t>
  </si>
  <si>
    <t>Type</t>
  </si>
  <si>
    <t>HOUSING</t>
  </si>
  <si>
    <t xml:space="preserve">   Rent or mortgage payment</t>
  </si>
  <si>
    <t>Ramsey: keep total housing ≤ 25% of take-home</t>
  </si>
  <si>
    <t>Need</t>
  </si>
  <si>
    <t xml:space="preserve">   Predial (1/12), HOA / maintenance fee</t>
  </si>
  <si>
    <t>Annual predial ÷ 12 — or fund it on the Planned Savings sheet</t>
  </si>
  <si>
    <t>UTILITIES</t>
  </si>
  <si>
    <t xml:space="preserve">   Electricity &amp; gas</t>
  </si>
  <si>
    <t xml:space="preserve">   Water</t>
  </si>
  <si>
    <t xml:space="preserve">   Internet &amp; phone</t>
  </si>
  <si>
    <t>FOOD — GROCERIES</t>
  </si>
  <si>
    <t xml:space="preserve">   Groceries (supermarket, market)</t>
  </si>
  <si>
    <t>Restaurants go under Lifestyle below</t>
  </si>
  <si>
    <t>TRANSPORTATION</t>
  </si>
  <si>
    <t xml:space="preserve">   Fuel or public transit</t>
  </si>
  <si>
    <t xml:space="preserve">   Parking, tolls, rideshare</t>
  </si>
  <si>
    <t>INSURANCE &amp; HEALTH</t>
  </si>
  <si>
    <t xml:space="preserve">   Health insurance / GMM (1/12)</t>
  </si>
  <si>
    <t>Annual premium ÷ 12 — or fund the renewal on Planned Savings</t>
  </si>
  <si>
    <t xml:space="preserve">   Medicines &amp; doctor visits</t>
  </si>
  <si>
    <t xml:space="preserve">   Life insurance</t>
  </si>
  <si>
    <t>DEBT PAYMENTS (MINIMUMS)</t>
  </si>
  <si>
    <t xml:space="preserve">   Credit card minimum payments</t>
  </si>
  <si>
    <t>Extra payments above minimums count as savings, below</t>
  </si>
  <si>
    <t xml:space="preserve">   Car / personal / student loan payment</t>
  </si>
  <si>
    <t>CHILDREN &amp; EDUCATION</t>
  </si>
  <si>
    <t xml:space="preserve">   School, childcare, courses, books</t>
  </si>
  <si>
    <t>GIVING</t>
  </si>
  <si>
    <t xml:space="preserve">   Donations, church, family support</t>
  </si>
  <si>
    <t>Ramsey suggests 10%; entirely personal</t>
  </si>
  <si>
    <t>Want</t>
  </si>
  <si>
    <t>LIFESTYLE &amp; PERSONAL</t>
  </si>
  <si>
    <t xml:space="preserve">   Dining out &amp; coffee</t>
  </si>
  <si>
    <t xml:space="preserve">   Clothing &amp; personal care</t>
  </si>
  <si>
    <t xml:space="preserve">   Gym, hobbies, sports</t>
  </si>
  <si>
    <t>ENTERTAINMENT &amp; SUBSCRIPTIONS</t>
  </si>
  <si>
    <t xml:space="preserve">   Streaming &amp; subscriptions</t>
  </si>
  <si>
    <t xml:space="preserve">   Outings, movies, weekend trips</t>
  </si>
  <si>
    <t>SAVINGS &amp; INVESTING</t>
  </si>
  <si>
    <t>+</t>
  </si>
  <si>
    <t xml:space="preserve">   Planned savings transfer (sinking funds)</t>
  </si>
  <si>
    <t>Pulled from the Planned Savings sheet</t>
  </si>
  <si>
    <t>Savings</t>
  </si>
  <si>
    <t xml:space="preserve">   Retirement — AFORE voluntaria / PPR</t>
  </si>
  <si>
    <t>Tax-deductible up to limits (see article)</t>
  </si>
  <si>
    <t xml:space="preserve">   Brokerage — ETFs / index funds</t>
  </si>
  <si>
    <t xml:space="preserve">   Extra debt payments (above minimums)</t>
  </si>
  <si>
    <t>Counts as 'savings' in the 50/30/20 rule</t>
  </si>
  <si>
    <t>TOTAL PLANNED SPENDING + SAVING</t>
  </si>
  <si>
    <t>LEFT TO ASSIGN  (income − plan; aim for $0)</t>
  </si>
  <si>
    <t>Note: in this example, Needs land near 57% — above the classic 50% guide and inside Fidelity's more realistic 60% guideline. High needs are normal; the fix is structural (housing, transport), not skipping coffee.</t>
  </si>
  <si>
    <t>Planned Savings — Sinking Funds</t>
  </si>
  <si>
    <t>One savings account, many purposes. This sheet remembers what each peso is FOR — retirement, the next car, insurance renewals — so annual bills never feel like emergencies.</t>
  </si>
  <si>
    <t>Planning month (update me!)</t>
  </si>
  <si>
    <t>Months-left formulas count from this date</t>
  </si>
  <si>
    <t>GOAL-BASED FUNDS (target + date → monthly set-aside)</t>
  </si>
  <si>
    <t>Target $</t>
  </si>
  <si>
    <t>Target date</t>
  </si>
  <si>
    <t>Saved so far</t>
  </si>
  <si>
    <t>Months left</t>
  </si>
  <si>
    <t>Monthly</t>
  </si>
  <si>
    <t>Emergency fund</t>
  </si>
  <si>
    <t>Aim: 3–6 months of essential expenses</t>
  </si>
  <si>
    <t>Christmas &amp; gifts</t>
  </si>
  <si>
    <t>Aguinaldo helps — but plan ahead anyway</t>
  </si>
  <si>
    <t>Insurance renewals (car + GMM)</t>
  </si>
  <si>
    <t>Annual premiums due at renewal</t>
  </si>
  <si>
    <t>Predial + verificación</t>
  </si>
  <si>
    <t>January discount pays for the planning</t>
  </si>
  <si>
    <t>Vacation</t>
  </si>
  <si>
    <t>Subtotal — goal-based</t>
  </si>
  <si>
    <t>ONGOING MONTHLY COMMITMENTS (no end date — fixed monthly amount)</t>
  </si>
  <si>
    <t>Next-car fund</t>
  </si>
  <si>
    <t>Saving the 'car payment' before you have one</t>
  </si>
  <si>
    <t>Home &amp; appliance maintenance</t>
  </si>
  <si>
    <t>~1% of home value per year, ÷ 12</t>
  </si>
  <si>
    <t>Medical fund (deductibles, dentist)</t>
  </si>
  <si>
    <t>Subtotal — ongoing</t>
  </si>
  <si>
    <t>TOTAL MONTHLY SET-ASIDE</t>
  </si>
  <si>
    <t>This number flows into your Budget sheet automatically</t>
  </si>
  <si>
    <t>WHERE THE MONEY SITS — ONE ACCOUNT, MANY ENVELOPES</t>
  </si>
  <si>
    <t>Actual savings account balance today</t>
  </si>
  <si>
    <t>Allocated to funds ('Saved so far' column)</t>
  </si>
  <si>
    <t>Unallocated buffer (should be ≥ $0)</t>
  </si>
  <si>
    <t>If the buffer is negative, your envelopes claim more money than you actually have — trim a target or a timeline.</t>
  </si>
  <si>
    <t>Net Worth — Assets minus Liabilities</t>
  </si>
  <si>
    <t>Update once a month. The direction matters more than the level.</t>
  </si>
  <si>
    <t>ASSETS (what you own)</t>
  </si>
  <si>
    <t>Checking account</t>
  </si>
  <si>
    <t>Savings account (sinking funds)</t>
  </si>
  <si>
    <t>Same balance as the Planned Savings sheet</t>
  </si>
  <si>
    <t>CETES / cetesdirecto</t>
  </si>
  <si>
    <t>Brokerage — ETFs / index funds</t>
  </si>
  <si>
    <t>AFORE balance</t>
  </si>
  <si>
    <t>Check your latest AFORE statement</t>
  </si>
  <si>
    <t>PPR / other retirement</t>
  </si>
  <si>
    <t>Home (market value, if you own)</t>
  </si>
  <si>
    <t>Car (resale value)</t>
  </si>
  <si>
    <t>Other (loans to others, crypto, etc.)</t>
  </si>
  <si>
    <t>Total assets</t>
  </si>
  <si>
    <t>LIABILITIES (what you owe)</t>
  </si>
  <si>
    <t>Mortgage balance</t>
  </si>
  <si>
    <t>Car loan balance</t>
  </si>
  <si>
    <t>Credit card balances</t>
  </si>
  <si>
    <t>Student / personal loans</t>
  </si>
  <si>
    <t>Other debts</t>
  </si>
  <si>
    <t>Total liabilities</t>
  </si>
  <si>
    <t>NET WORTH</t>
  </si>
  <si>
    <t>MONTHLY TRACKER</t>
  </si>
  <si>
    <t>Assets</t>
  </si>
  <si>
    <t>Liabilities</t>
  </si>
  <si>
    <t>Net worth</t>
  </si>
  <si>
    <t>Change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</si>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</sst>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&quot;($&quot;#,##0\);\-"/>
    <numFmt numFmtId="165" formatCode="0.0%"/>
    <numFmt numFmtId="166" formatCode="mmm\ yyyy"/>
  </numFmts>
  <fonts count="18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595959"/>
      <name val="Arial"/>
      <charset val="1"/>
    </font>
    <font>
      <sz val="10"/>
      <color rgb="FF000000"/>
      <name val="Arial"/>
      <charset val="1"/>
    </font>
    <font>
      <b/>
      <sz val="11"/>
      <color rgb="FF1F3864"/>
      <name val="Arial"/>
      <charset val="1"/>
    </font>
    <font>
      <b/>
      <sz val="10"/>
      <color rgb="FF000000"/>
      <name val="Arial"/>
      <charset val="1"/>
    </font>
    <font>
      <sz val="10"/>
      <color rgb="FF0000FF"/>
      <name val="Arial"/>
      <charset val="1"/>
    </font>
    <font>
      <sz val="10"/>
      <color rgb="FF008000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i/>
      <sz val="9"/>
      <color rgb="FF808080"/>
      <name val="Arial"/>
      <charset val="1"/>
    </font>
    <font>
      <sz val="10"/>
      <color rgb="FF595959"/>
      <name val="Arial"/>
      <charset val="1"/>
    </font>
    <font>
      <sz val="10"/>
      <color rgb="FF808080"/>
      <name val="Arial"/>
      <charset val="1"/>
    </font>
    <font>
      <sz val="9"/>
      <color rgb="FF808080"/>
      <name val="Arial"/>
      <charset val="1"/>
    </font>
    <font>
      <b/>
      <sz val="11"/>
      <color rgb="FF000000"/>
      <name val="Arial"/>
      <charset val="1"/>
    </font>
    <font>
      <b/>
      <sz val="12"/>
      <color rgb="FF000000"/>
      <name val="Arial"/>
      <charset val="1"/>
    </font>
    <font>
      <b/>
      <sz val="13"/>
      <color rgb="FF000000"/>
      <name val="Arial"/>
      <charset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3" fillId="0" borderId="0" xfId="0" applyFont="1"/>
    <xf numFmtId="0" fontId="10" fillId="0" borderId="0" xfId="0" applyFont="1"/>
    <xf numFmtId="164" fontId="6" fillId="0" borderId="1" xfId="0" applyNumberFormat="1" applyFont="1" applyBorder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0" fontId="11" fillId="0" borderId="0" xfId="0" applyFont="1" applyAlignment="1">
      <alignment horizontal="center" vertical="center"/>
    </xf>
    <xf numFmtId="164" fontId="3" fillId="0" borderId="1" xfId="0" applyNumberFormat="1" applyFont="1" applyBorder="1"/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4" borderId="0" xfId="0" applyFont="1" applyFill="1"/>
    <xf numFmtId="0" fontId="3" fillId="4" borderId="0" xfId="0" applyFont="1" applyFill="1"/>
    <xf numFmtId="9" fontId="11" fillId="4" borderId="0" xfId="0" applyNumberFormat="1" applyFont="1" applyFill="1" applyAlignment="1">
      <alignment horizontal="center" vertical="center"/>
    </xf>
    <xf numFmtId="164" fontId="5" fillId="4" borderId="0" xfId="0" applyNumberFormat="1" applyFont="1" applyFill="1"/>
    <xf numFmtId="165" fontId="5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64" fontId="7" fillId="0" borderId="1" xfId="0" applyNumberFormat="1" applyFont="1" applyBorder="1"/>
    <xf numFmtId="0" fontId="5" fillId="5" borderId="0" xfId="0" applyFont="1" applyFill="1"/>
    <xf numFmtId="0" fontId="3" fillId="5" borderId="0" xfId="0" applyFont="1" applyFill="1"/>
    <xf numFmtId="164" fontId="5" fillId="5" borderId="1" xfId="0" applyNumberFormat="1" applyFont="1" applyFill="1" applyBorder="1"/>
    <xf numFmtId="165" fontId="5" fillId="5" borderId="0" xfId="0" applyNumberFormat="1" applyFont="1" applyFill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/>
    <xf numFmtId="164" fontId="15" fillId="3" borderId="1" xfId="0" applyNumberFormat="1" applyFont="1" applyFill="1" applyBorder="1"/>
    <xf numFmtId="0" fontId="3" fillId="2" borderId="0" xfId="0" applyFont="1" applyFill="1"/>
    <xf numFmtId="0" fontId="16" fillId="0" borderId="0" xfId="0" applyFont="1"/>
    <xf numFmtId="164" fontId="16" fillId="3" borderId="1" xfId="0" applyNumberFormat="1" applyFont="1" applyFill="1" applyBorder="1"/>
    <xf numFmtId="166" fontId="6" fillId="0" borderId="1" xfId="0" applyNumberFormat="1" applyFont="1" applyBorder="1"/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6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BE4B48"/>
      <rgbColor rgb="FFF2F2F2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878787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Net worth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'Net Worth'!$F$27</c:f>
              <c:strCache>
                <c:ptCount val="1"/>
                <c:pt idx="0">
                  <c:v>Net worth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'Net Worth'!$A$28:$A$39</c:f>
              <c:numCache>
                <c:formatCode>mmm\ yyyy</c:formatCode>
                <c:ptCount val="12"/>
                <c:pt idx="0">
                  <c:v>46174</c:v>
                </c:pt>
                <c:pt idx="1">
                  <c:v>46204</c:v>
                </c:pt>
                <c:pt idx="2">
                  <c:v>46235</c:v>
                </c:pt>
              </c:numCache>
            </c:numRef>
          </c:cat>
          <c:val>
            <c:numRef>
              <c:f>'Net Worth'!$F$28:$F$39</c:f>
              <c:numCache>
                <c:formatCode>\$#,##0;"($"#,##0\);\-</c:formatCode>
                <c:ptCount val="12"/>
                <c:pt idx="0">
                  <c:v>492000</c:v>
                </c:pt>
                <c:pt idx="1">
                  <c:v>503000</c:v>
                </c:pt>
                <c:pt idx="2">
                  <c:v>515000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96-994F-9F08-CF35449D4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4076582"/>
        <c:axId val="59207296"/>
      </c:lineChart>
      <c:dateAx>
        <c:axId val="94076582"/>
        <c:scaling>
          <c:orientation val="minMax"/>
        </c:scaling>
        <c:delete val="0"/>
        <c:axPos val="b"/>
        <c:numFmt formatCode="mmm\ 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MX"/>
          </a:p>
        </c:txPr>
        <c:crossAx val="59207296"/>
        <c:crosses val="autoZero"/>
        <c:auto val="1"/>
        <c:lblOffset val="100"/>
        <c:baseTimeUnit val="months"/>
      </c:dateAx>
      <c:valAx>
        <c:axId val="592072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MX"/>
          </a:p>
        </c:txPr>
        <c:crossAx val="940765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MX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176040</xdr:rowOff>
    </xdr:from>
    <xdr:to>
      <xdr:col>2</xdr:col>
      <xdr:colOff>825840</xdr:colOff>
      <xdr:row>54</xdr:row>
      <xdr:rowOff>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zoomScaleNormal="100" workbookViewId="0">
      <selection activeCell="B18" sqref="B18"/>
    </sheetView>
  </sheetViews>
  <sheetFormatPr baseColWidth="10" defaultColWidth="8.6640625" defaultRowHeight="15" x14ac:dyDescent="0.2"/>
  <cols>
    <col min="1" max="1" width="3" customWidth="1"/>
    <col min="2" max="2" width="110" customWidth="1"/>
    <col min="3" max="3" width="12" customWidth="1"/>
  </cols>
  <sheetData>
    <row r="1" spans="1:3" ht="21.75" customHeight="1" x14ac:dyDescent="0.2">
      <c r="A1" s="2" t="s">
        <v>0</v>
      </c>
      <c r="B1" s="2"/>
      <c r="C1" s="2"/>
    </row>
    <row r="2" spans="1:3" x14ac:dyDescent="0.2">
      <c r="B2" s="3" t="s">
        <v>1</v>
      </c>
    </row>
    <row r="3" spans="1:3" ht="15" customHeight="1" x14ac:dyDescent="0.2">
      <c r="B3" s="4"/>
    </row>
    <row r="4" spans="1:3" x14ac:dyDescent="0.2">
      <c r="B4" s="5" t="s">
        <v>2</v>
      </c>
    </row>
    <row r="5" spans="1:3" ht="27.75" customHeight="1" x14ac:dyDescent="0.2">
      <c r="A5" s="6" t="s">
        <v>3</v>
      </c>
      <c r="B5" s="4" t="s">
        <v>4</v>
      </c>
    </row>
    <row r="6" spans="1:3" ht="42" customHeight="1" x14ac:dyDescent="0.2">
      <c r="A6" s="6" t="s">
        <v>5</v>
      </c>
      <c r="B6" s="4" t="s">
        <v>6</v>
      </c>
    </row>
    <row r="7" spans="1:3" ht="42" customHeight="1" x14ac:dyDescent="0.2">
      <c r="A7" s="6" t="s">
        <v>7</v>
      </c>
      <c r="B7" s="4" t="s">
        <v>8</v>
      </c>
    </row>
    <row r="8" spans="1:3" ht="42" customHeight="1" x14ac:dyDescent="0.2">
      <c r="A8" s="6" t="s">
        <v>9</v>
      </c>
      <c r="B8" s="4" t="s">
        <v>10</v>
      </c>
    </row>
    <row r="9" spans="1:3" ht="27.75" customHeight="1" x14ac:dyDescent="0.2">
      <c r="A9" s="6" t="s">
        <v>11</v>
      </c>
      <c r="B9" s="4" t="s">
        <v>12</v>
      </c>
    </row>
    <row r="10" spans="1:3" ht="15" customHeight="1" x14ac:dyDescent="0.2">
      <c r="B10" s="4"/>
    </row>
    <row r="11" spans="1:3" x14ac:dyDescent="0.2">
      <c r="B11" s="5" t="s">
        <v>13</v>
      </c>
    </row>
    <row r="12" spans="1:3" ht="15" customHeight="1" x14ac:dyDescent="0.2">
      <c r="B12" s="7" t="s">
        <v>14</v>
      </c>
    </row>
    <row r="13" spans="1:3" ht="15" customHeight="1" x14ac:dyDescent="0.2">
      <c r="B13" s="44" t="s">
        <v>15</v>
      </c>
    </row>
    <row r="14" spans="1:3" ht="15" customHeight="1" x14ac:dyDescent="0.2">
      <c r="B14" s="8" t="s">
        <v>16</v>
      </c>
    </row>
    <row r="15" spans="1:3" ht="15" customHeight="1" x14ac:dyDescent="0.2">
      <c r="B15" s="45" t="s">
        <v>17</v>
      </c>
    </row>
    <row r="16" spans="1:3" ht="15" customHeight="1" x14ac:dyDescent="0.2">
      <c r="B16" s="4"/>
    </row>
    <row r="17" spans="2:2" x14ac:dyDescent="0.2">
      <c r="B17" s="5" t="s">
        <v>18</v>
      </c>
    </row>
    <row r="18" spans="2:2" ht="27.75" customHeight="1" x14ac:dyDescent="0.2">
      <c r="B18" s="4" t="s">
        <v>19</v>
      </c>
    </row>
    <row r="19" spans="2:2" ht="15" customHeight="1" x14ac:dyDescent="0.2">
      <c r="B19" s="4"/>
    </row>
    <row r="20" spans="2:2" x14ac:dyDescent="0.2">
      <c r="B20" s="5" t="s">
        <v>20</v>
      </c>
    </row>
    <row r="21" spans="2:2" ht="27.75" customHeight="1" x14ac:dyDescent="0.2">
      <c r="B21" s="4" t="s">
        <v>21</v>
      </c>
    </row>
    <row r="22" spans="2:2" ht="42" customHeight="1" x14ac:dyDescent="0.2">
      <c r="B22" s="4" t="s">
        <v>22</v>
      </c>
    </row>
    <row r="23" spans="2:2" ht="15" customHeight="1" x14ac:dyDescent="0.2">
      <c r="B23" s="4"/>
    </row>
    <row r="24" spans="2:2" ht="15" customHeight="1" x14ac:dyDescent="0.2">
      <c r="B24" s="4" t="s">
        <v>23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showGridLines="0" zoomScaleNormal="100" workbookViewId="0">
      <pane ySplit="1" topLeftCell="A2" activePane="bottomLeft" state="frozen"/>
      <selection pane="bottomLeft" sqref="A1:I1"/>
    </sheetView>
  </sheetViews>
  <sheetFormatPr baseColWidth="10" defaultColWidth="8.6640625" defaultRowHeight="15" x14ac:dyDescent="0.2"/>
  <cols>
    <col min="1" max="1" width="34" customWidth="1"/>
    <col min="2" max="2" width="36" customWidth="1"/>
    <col min="3" max="4" width="9.5" customWidth="1"/>
    <col min="5" max="6" width="12" customWidth="1"/>
    <col min="7" max="7" width="11" customWidth="1"/>
    <col min="8" max="8" width="9" customWidth="1"/>
    <col min="9" max="9" width="10" customWidth="1"/>
  </cols>
  <sheetData>
    <row r="1" spans="1:9" ht="21.75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25</v>
      </c>
    </row>
    <row r="4" spans="1:9" x14ac:dyDescent="0.2">
      <c r="A4" s="9" t="s">
        <v>26</v>
      </c>
      <c r="E4" s="10" t="s">
        <v>27</v>
      </c>
      <c r="F4" s="10" t="s">
        <v>28</v>
      </c>
    </row>
    <row r="5" spans="1:9" x14ac:dyDescent="0.2">
      <c r="A5" s="11" t="s">
        <v>29</v>
      </c>
      <c r="B5" s="12" t="s">
        <v>30</v>
      </c>
      <c r="E5" s="13">
        <v>40000</v>
      </c>
      <c r="F5" s="13">
        <v>40000</v>
      </c>
    </row>
    <row r="6" spans="1:9" x14ac:dyDescent="0.2">
      <c r="A6" s="11" t="s">
        <v>31</v>
      </c>
      <c r="E6" s="13">
        <v>2000</v>
      </c>
      <c r="F6" s="13">
        <v>2000</v>
      </c>
    </row>
    <row r="7" spans="1:9" x14ac:dyDescent="0.2">
      <c r="A7" s="6" t="s">
        <v>32</v>
      </c>
      <c r="E7" s="14">
        <f>SUM(E5:E6)</f>
        <v>42000</v>
      </c>
      <c r="F7" s="15">
        <f>SUM(F5:F6)</f>
        <v>42000</v>
      </c>
    </row>
    <row r="9" spans="1:9" x14ac:dyDescent="0.2">
      <c r="A9" s="9" t="s">
        <v>33</v>
      </c>
      <c r="C9" s="10" t="s">
        <v>34</v>
      </c>
      <c r="E9" s="10" t="s">
        <v>27</v>
      </c>
      <c r="F9" s="10" t="s">
        <v>28</v>
      </c>
      <c r="G9" s="10" t="s">
        <v>35</v>
      </c>
      <c r="H9" s="10" t="s">
        <v>36</v>
      </c>
    </row>
    <row r="10" spans="1:9" x14ac:dyDescent="0.2">
      <c r="A10" s="11" t="s">
        <v>37</v>
      </c>
      <c r="C10" s="16" t="s">
        <v>38</v>
      </c>
      <c r="E10" s="17">
        <f>SUMIF($I$16:$I$51,"Need",$E$16:$E$51)</f>
        <v>24150</v>
      </c>
      <c r="F10" s="17">
        <f>SUMIF($I$16:$I$51,"Need",$F$16:$F$51)</f>
        <v>24270</v>
      </c>
      <c r="G10" s="18">
        <f>IF($E$7=0,"",E10/$E$7)</f>
        <v>0.57499999999999996</v>
      </c>
      <c r="H10" s="19" t="str">
        <f>IF($E$7=0,"",IF(G10&gt;0.5,"High","OK"))</f>
        <v>High</v>
      </c>
    </row>
    <row r="11" spans="1:9" x14ac:dyDescent="0.2">
      <c r="A11" s="11" t="s">
        <v>39</v>
      </c>
      <c r="C11" s="16" t="s">
        <v>40</v>
      </c>
      <c r="E11" s="17">
        <f>SUMIF($I$16:$I$51,"Want",$E$16:$E$51)</f>
        <v>5850</v>
      </c>
      <c r="F11" s="17">
        <f>SUMIF($I$16:$I$51,"Want",$F$16:$F$51)</f>
        <v>6150</v>
      </c>
      <c r="G11" s="18">
        <f>IF($E$7=0,"",E11/$E$7)</f>
        <v>0.13928571428571429</v>
      </c>
      <c r="H11" s="19" t="str">
        <f>IF($E$7=0,"",IF(G11&gt;0.3,"High","OK"))</f>
        <v>OK</v>
      </c>
    </row>
    <row r="12" spans="1:9" x14ac:dyDescent="0.2">
      <c r="A12" s="11" t="s">
        <v>41</v>
      </c>
      <c r="C12" s="16" t="s">
        <v>42</v>
      </c>
      <c r="E12" s="17">
        <f>SUMIF($I$16:$I$51,"Savings",$E$16:$E$51)</f>
        <v>12000</v>
      </c>
      <c r="F12" s="17">
        <f>SUMIF($I$16:$I$51,"Savings",$F$16:$F$51)</f>
        <v>12000</v>
      </c>
      <c r="G12" s="18">
        <f>IF($E$7=0,"",E12/$E$7)</f>
        <v>0.2857142857142857</v>
      </c>
      <c r="H12" s="19" t="str">
        <f>IF($E$7=0,"",IF(G12&lt;0.2,"Low","OK"))</f>
        <v>OK</v>
      </c>
    </row>
    <row r="13" spans="1:9" x14ac:dyDescent="0.2">
      <c r="A13" s="6" t="s">
        <v>43</v>
      </c>
      <c r="E13" s="15">
        <f>SUM(E10:E12)</f>
        <v>42000</v>
      </c>
      <c r="F13" s="15">
        <f>SUM(F10:F12)</f>
        <v>42420</v>
      </c>
      <c r="G13" s="20">
        <f>IF($E$7=0,"",E13/$E$7)</f>
        <v>1</v>
      </c>
    </row>
    <row r="14" spans="1:9" x14ac:dyDescent="0.2">
      <c r="A14" s="6" t="s">
        <v>44</v>
      </c>
      <c r="E14" s="14">
        <f>$E$7-E13</f>
        <v>0</v>
      </c>
    </row>
    <row r="15" spans="1:9" x14ac:dyDescent="0.2">
      <c r="A15" s="9" t="s">
        <v>45</v>
      </c>
      <c r="B15" s="10" t="s">
        <v>46</v>
      </c>
      <c r="C15" s="10" t="s">
        <v>47</v>
      </c>
      <c r="D15" s="10" t="s">
        <v>48</v>
      </c>
      <c r="E15" s="10" t="s">
        <v>27</v>
      </c>
      <c r="F15" s="10" t="s">
        <v>28</v>
      </c>
      <c r="G15" s="10" t="s">
        <v>35</v>
      </c>
      <c r="H15" s="10" t="s">
        <v>36</v>
      </c>
      <c r="I15" s="10" t="s">
        <v>49</v>
      </c>
    </row>
    <row r="16" spans="1:9" x14ac:dyDescent="0.2">
      <c r="A16" s="21" t="s">
        <v>50</v>
      </c>
      <c r="B16" s="22"/>
      <c r="C16" s="23">
        <v>0.25</v>
      </c>
      <c r="D16" s="23">
        <v>0.35</v>
      </c>
      <c r="E16" s="24">
        <f>SUM(E17:E18)</f>
        <v>10400</v>
      </c>
      <c r="F16" s="24">
        <f>SUM(F17:F18)</f>
        <v>10400</v>
      </c>
      <c r="G16" s="25">
        <f t="shared" ref="G16:G50" si="0">IF($E$7=0,"",E16/$E$7)</f>
        <v>0.24761904761904763</v>
      </c>
      <c r="H16" s="26" t="str">
        <f>IF($E$7=0,"",IF(G16&gt;D16,"High",IF(G16&lt;C16,"Low","OK")))</f>
        <v>Low</v>
      </c>
      <c r="I16" s="22"/>
    </row>
    <row r="17" spans="1:9" x14ac:dyDescent="0.2">
      <c r="A17" s="11" t="s">
        <v>51</v>
      </c>
      <c r="B17" s="12" t="s">
        <v>52</v>
      </c>
      <c r="E17" s="13">
        <v>10000</v>
      </c>
      <c r="F17" s="13">
        <v>10000</v>
      </c>
      <c r="G17" s="27">
        <f t="shared" si="0"/>
        <v>0.23809523809523808</v>
      </c>
      <c r="I17" s="28" t="s">
        <v>53</v>
      </c>
    </row>
    <row r="18" spans="1:9" x14ac:dyDescent="0.2">
      <c r="A18" s="11" t="s">
        <v>54</v>
      </c>
      <c r="B18" s="12" t="s">
        <v>55</v>
      </c>
      <c r="E18" s="13">
        <v>400</v>
      </c>
      <c r="F18" s="13">
        <v>400</v>
      </c>
      <c r="G18" s="27">
        <f t="shared" si="0"/>
        <v>9.5238095238095247E-3</v>
      </c>
      <c r="I18" s="28" t="s">
        <v>53</v>
      </c>
    </row>
    <row r="19" spans="1:9" x14ac:dyDescent="0.2">
      <c r="A19" s="21" t="s">
        <v>56</v>
      </c>
      <c r="B19" s="22"/>
      <c r="C19" s="23">
        <v>0.05</v>
      </c>
      <c r="D19" s="23">
        <v>0.1</v>
      </c>
      <c r="E19" s="24">
        <f>SUM(E20:E22)</f>
        <v>1650</v>
      </c>
      <c r="F19" s="24">
        <f>SUM(F20:F22)</f>
        <v>1690</v>
      </c>
      <c r="G19" s="25">
        <f t="shared" si="0"/>
        <v>3.9285714285714285E-2</v>
      </c>
      <c r="H19" s="26" t="str">
        <f>IF($E$7=0,"",IF(G19&gt;D19,"High",IF(G19&lt;C19,"Low","OK")))</f>
        <v>Low</v>
      </c>
      <c r="I19" s="22"/>
    </row>
    <row r="20" spans="1:9" x14ac:dyDescent="0.2">
      <c r="A20" s="11" t="s">
        <v>57</v>
      </c>
      <c r="E20" s="13">
        <v>600</v>
      </c>
      <c r="F20" s="13">
        <v>640</v>
      </c>
      <c r="G20" s="27">
        <f t="shared" si="0"/>
        <v>1.4285714285714285E-2</v>
      </c>
      <c r="I20" s="28" t="s">
        <v>53</v>
      </c>
    </row>
    <row r="21" spans="1:9" x14ac:dyDescent="0.2">
      <c r="A21" s="11" t="s">
        <v>58</v>
      </c>
      <c r="E21" s="13">
        <v>150</v>
      </c>
      <c r="F21" s="13">
        <v>150</v>
      </c>
      <c r="G21" s="27">
        <f t="shared" si="0"/>
        <v>3.5714285714285713E-3</v>
      </c>
      <c r="I21" s="28" t="s">
        <v>53</v>
      </c>
    </row>
    <row r="22" spans="1:9" x14ac:dyDescent="0.2">
      <c r="A22" s="11" t="s">
        <v>59</v>
      </c>
      <c r="E22" s="13">
        <v>900</v>
      </c>
      <c r="F22" s="13">
        <v>900</v>
      </c>
      <c r="G22" s="27">
        <f t="shared" si="0"/>
        <v>2.1428571428571429E-2</v>
      </c>
      <c r="I22" s="28" t="s">
        <v>53</v>
      </c>
    </row>
    <row r="23" spans="1:9" x14ac:dyDescent="0.2">
      <c r="A23" s="21" t="s">
        <v>60</v>
      </c>
      <c r="B23" s="22"/>
      <c r="C23" s="23">
        <v>0.1</v>
      </c>
      <c r="D23" s="23">
        <v>0.15</v>
      </c>
      <c r="E23" s="24">
        <f>SUM(E24:E24)</f>
        <v>5000</v>
      </c>
      <c r="F23" s="24">
        <f>SUM(F24:F24)</f>
        <v>5300</v>
      </c>
      <c r="G23" s="25">
        <f t="shared" si="0"/>
        <v>0.11904761904761904</v>
      </c>
      <c r="H23" s="26" t="str">
        <f>IF($E$7=0,"",IF(G23&gt;D23,"High",IF(G23&lt;C23,"Low","OK")))</f>
        <v>OK</v>
      </c>
      <c r="I23" s="22"/>
    </row>
    <row r="24" spans="1:9" x14ac:dyDescent="0.2">
      <c r="A24" s="11" t="s">
        <v>61</v>
      </c>
      <c r="B24" s="12" t="s">
        <v>62</v>
      </c>
      <c r="E24" s="13">
        <v>5000</v>
      </c>
      <c r="F24" s="13">
        <v>5300</v>
      </c>
      <c r="G24" s="27">
        <f t="shared" si="0"/>
        <v>0.11904761904761904</v>
      </c>
      <c r="I24" s="28" t="s">
        <v>53</v>
      </c>
    </row>
    <row r="25" spans="1:9" x14ac:dyDescent="0.2">
      <c r="A25" s="21" t="s">
        <v>63</v>
      </c>
      <c r="B25" s="22"/>
      <c r="C25" s="23">
        <v>0.1</v>
      </c>
      <c r="D25" s="23">
        <v>0.15</v>
      </c>
      <c r="E25" s="24">
        <f>SUM(E26:E27)</f>
        <v>2400</v>
      </c>
      <c r="F25" s="24">
        <f>SUM(F26:F27)</f>
        <v>2330</v>
      </c>
      <c r="G25" s="25">
        <f t="shared" si="0"/>
        <v>5.7142857142857141E-2</v>
      </c>
      <c r="H25" s="26" t="str">
        <f>IF($E$7=0,"",IF(G25&gt;D25,"High",IF(G25&lt;C25,"Low","OK")))</f>
        <v>Low</v>
      </c>
      <c r="I25" s="22"/>
    </row>
    <row r="26" spans="1:9" x14ac:dyDescent="0.2">
      <c r="A26" s="11" t="s">
        <v>64</v>
      </c>
      <c r="E26" s="13">
        <v>2000</v>
      </c>
      <c r="F26" s="13">
        <v>1950</v>
      </c>
      <c r="G26" s="27">
        <f t="shared" si="0"/>
        <v>4.7619047619047616E-2</v>
      </c>
      <c r="I26" s="28" t="s">
        <v>53</v>
      </c>
    </row>
    <row r="27" spans="1:9" x14ac:dyDescent="0.2">
      <c r="A27" s="11" t="s">
        <v>65</v>
      </c>
      <c r="E27" s="13">
        <v>400</v>
      </c>
      <c r="F27" s="13">
        <v>380</v>
      </c>
      <c r="G27" s="27">
        <f t="shared" si="0"/>
        <v>9.5238095238095247E-3</v>
      </c>
      <c r="I27" s="28" t="s">
        <v>53</v>
      </c>
    </row>
    <row r="28" spans="1:9" x14ac:dyDescent="0.2">
      <c r="A28" s="21" t="s">
        <v>66</v>
      </c>
      <c r="B28" s="22"/>
      <c r="C28" s="23">
        <v>0.05</v>
      </c>
      <c r="D28" s="23">
        <v>0.1</v>
      </c>
      <c r="E28" s="24">
        <f>SUM(E29:E31)</f>
        <v>2000</v>
      </c>
      <c r="F28" s="24">
        <f>SUM(F29:F31)</f>
        <v>1850</v>
      </c>
      <c r="G28" s="25">
        <f t="shared" si="0"/>
        <v>4.7619047619047616E-2</v>
      </c>
      <c r="H28" s="26" t="str">
        <f>IF($E$7=0,"",IF(G28&gt;D28,"High",IF(G28&lt;C28,"Low","OK")))</f>
        <v>Low</v>
      </c>
      <c r="I28" s="22"/>
    </row>
    <row r="29" spans="1:9" x14ac:dyDescent="0.2">
      <c r="A29" s="11" t="s">
        <v>67</v>
      </c>
      <c r="B29" s="12" t="s">
        <v>68</v>
      </c>
      <c r="E29" s="13">
        <v>1200</v>
      </c>
      <c r="F29" s="13">
        <v>1200</v>
      </c>
      <c r="G29" s="27">
        <f t="shared" si="0"/>
        <v>2.8571428571428571E-2</v>
      </c>
      <c r="I29" s="28" t="s">
        <v>53</v>
      </c>
    </row>
    <row r="30" spans="1:9" x14ac:dyDescent="0.2">
      <c r="A30" s="11" t="s">
        <v>69</v>
      </c>
      <c r="E30" s="13">
        <v>500</v>
      </c>
      <c r="F30" s="13">
        <v>350</v>
      </c>
      <c r="G30" s="27">
        <f t="shared" si="0"/>
        <v>1.1904761904761904E-2</v>
      </c>
      <c r="I30" s="28" t="s">
        <v>53</v>
      </c>
    </row>
    <row r="31" spans="1:9" x14ac:dyDescent="0.2">
      <c r="A31" s="11" t="s">
        <v>70</v>
      </c>
      <c r="E31" s="13">
        <v>300</v>
      </c>
      <c r="F31" s="13">
        <v>300</v>
      </c>
      <c r="G31" s="27">
        <f t="shared" si="0"/>
        <v>7.1428571428571426E-3</v>
      </c>
      <c r="I31" s="28" t="s">
        <v>53</v>
      </c>
    </row>
    <row r="32" spans="1:9" x14ac:dyDescent="0.2">
      <c r="A32" s="21" t="s">
        <v>71</v>
      </c>
      <c r="B32" s="22"/>
      <c r="C32" s="23">
        <v>0</v>
      </c>
      <c r="D32" s="23">
        <v>0.1</v>
      </c>
      <c r="E32" s="24">
        <f>SUM(E33:E34)</f>
        <v>2300</v>
      </c>
      <c r="F32" s="24">
        <f>SUM(F33:F34)</f>
        <v>2300</v>
      </c>
      <c r="G32" s="25">
        <f t="shared" si="0"/>
        <v>5.4761904761904762E-2</v>
      </c>
      <c r="H32" s="26" t="str">
        <f>IF($E$7=0,"",IF(G32&gt;D32,"High",IF(G32&lt;C32,"Low","OK")))</f>
        <v>OK</v>
      </c>
      <c r="I32" s="22"/>
    </row>
    <row r="33" spans="1:9" x14ac:dyDescent="0.2">
      <c r="A33" s="11" t="s">
        <v>72</v>
      </c>
      <c r="B33" s="12" t="s">
        <v>73</v>
      </c>
      <c r="E33" s="13">
        <v>800</v>
      </c>
      <c r="F33" s="13">
        <v>800</v>
      </c>
      <c r="G33" s="27">
        <f t="shared" si="0"/>
        <v>1.9047619047619049E-2</v>
      </c>
      <c r="I33" s="28" t="s">
        <v>53</v>
      </c>
    </row>
    <row r="34" spans="1:9" x14ac:dyDescent="0.2">
      <c r="A34" s="11" t="s">
        <v>74</v>
      </c>
      <c r="E34" s="13">
        <v>1500</v>
      </c>
      <c r="F34" s="13">
        <v>1500</v>
      </c>
      <c r="G34" s="27">
        <f t="shared" si="0"/>
        <v>3.5714285714285712E-2</v>
      </c>
      <c r="I34" s="28" t="s">
        <v>53</v>
      </c>
    </row>
    <row r="35" spans="1:9" x14ac:dyDescent="0.2">
      <c r="A35" s="21" t="s">
        <v>75</v>
      </c>
      <c r="B35" s="22"/>
      <c r="C35" s="23">
        <v>0</v>
      </c>
      <c r="D35" s="23">
        <v>0.15</v>
      </c>
      <c r="E35" s="24">
        <f>SUM(E36:E36)</f>
        <v>400</v>
      </c>
      <c r="F35" s="24">
        <f>SUM(F36:F36)</f>
        <v>400</v>
      </c>
      <c r="G35" s="25">
        <f t="shared" si="0"/>
        <v>9.5238095238095247E-3</v>
      </c>
      <c r="H35" s="26" t="str">
        <f>IF($E$7=0,"",IF(G35&gt;D35,"High",IF(G35&lt;C35,"Low","OK")))</f>
        <v>OK</v>
      </c>
      <c r="I35" s="22"/>
    </row>
    <row r="36" spans="1:9" x14ac:dyDescent="0.2">
      <c r="A36" s="11" t="s">
        <v>76</v>
      </c>
      <c r="E36" s="13">
        <v>400</v>
      </c>
      <c r="F36" s="13">
        <v>400</v>
      </c>
      <c r="G36" s="27">
        <f t="shared" si="0"/>
        <v>9.5238095238095247E-3</v>
      </c>
      <c r="I36" s="28" t="s">
        <v>53</v>
      </c>
    </row>
    <row r="37" spans="1:9" x14ac:dyDescent="0.2">
      <c r="A37" s="21" t="s">
        <v>77</v>
      </c>
      <c r="B37" s="22"/>
      <c r="C37" s="23">
        <v>0</v>
      </c>
      <c r="D37" s="23">
        <v>0.1</v>
      </c>
      <c r="E37" s="24">
        <f>SUM(E38:E38)</f>
        <v>500</v>
      </c>
      <c r="F37" s="24">
        <f>SUM(F38:F38)</f>
        <v>500</v>
      </c>
      <c r="G37" s="25">
        <f t="shared" si="0"/>
        <v>1.1904761904761904E-2</v>
      </c>
      <c r="H37" s="26" t="str">
        <f>IF($E$7=0,"",IF(G37&gt;D37,"High",IF(G37&lt;C37,"Low","OK")))</f>
        <v>OK</v>
      </c>
      <c r="I37" s="22"/>
    </row>
    <row r="38" spans="1:9" x14ac:dyDescent="0.2">
      <c r="A38" s="11" t="s">
        <v>78</v>
      </c>
      <c r="B38" s="12" t="s">
        <v>79</v>
      </c>
      <c r="E38" s="13">
        <v>500</v>
      </c>
      <c r="F38" s="13">
        <v>500</v>
      </c>
      <c r="G38" s="27">
        <f t="shared" si="0"/>
        <v>1.1904761904761904E-2</v>
      </c>
      <c r="I38" s="28" t="s">
        <v>80</v>
      </c>
    </row>
    <row r="39" spans="1:9" x14ac:dyDescent="0.2">
      <c r="A39" s="21" t="s">
        <v>81</v>
      </c>
      <c r="B39" s="22"/>
      <c r="C39" s="23">
        <v>0.05</v>
      </c>
      <c r="D39" s="23">
        <v>0.1</v>
      </c>
      <c r="E39" s="24">
        <f>SUM(E40:E42)</f>
        <v>3900</v>
      </c>
      <c r="F39" s="24">
        <f>SUM(F40:F42)</f>
        <v>4050</v>
      </c>
      <c r="G39" s="25">
        <f t="shared" si="0"/>
        <v>9.285714285714286E-2</v>
      </c>
      <c r="H39" s="26" t="str">
        <f>IF($E$7=0,"",IF(G39&gt;D39,"High",IF(G39&lt;C39,"Low","OK")))</f>
        <v>OK</v>
      </c>
      <c r="I39" s="22"/>
    </row>
    <row r="40" spans="1:9" x14ac:dyDescent="0.2">
      <c r="A40" s="11" t="s">
        <v>82</v>
      </c>
      <c r="E40" s="13">
        <v>2000</v>
      </c>
      <c r="F40" s="13">
        <v>2350</v>
      </c>
      <c r="G40" s="27">
        <f t="shared" si="0"/>
        <v>4.7619047619047616E-2</v>
      </c>
      <c r="I40" s="28" t="s">
        <v>80</v>
      </c>
    </row>
    <row r="41" spans="1:9" x14ac:dyDescent="0.2">
      <c r="A41" s="11" t="s">
        <v>83</v>
      </c>
      <c r="E41" s="13">
        <v>1200</v>
      </c>
      <c r="F41" s="13">
        <v>1000</v>
      </c>
      <c r="G41" s="27">
        <f t="shared" si="0"/>
        <v>2.8571428571428571E-2</v>
      </c>
      <c r="I41" s="28" t="s">
        <v>80</v>
      </c>
    </row>
    <row r="42" spans="1:9" x14ac:dyDescent="0.2">
      <c r="A42" s="11" t="s">
        <v>84</v>
      </c>
      <c r="E42" s="13">
        <v>700</v>
      </c>
      <c r="F42" s="13">
        <v>700</v>
      </c>
      <c r="G42" s="27">
        <f t="shared" si="0"/>
        <v>1.6666666666666666E-2</v>
      </c>
      <c r="I42" s="28" t="s">
        <v>80</v>
      </c>
    </row>
    <row r="43" spans="1:9" x14ac:dyDescent="0.2">
      <c r="A43" s="21" t="s">
        <v>85</v>
      </c>
      <c r="B43" s="22"/>
      <c r="C43" s="23">
        <v>0.05</v>
      </c>
      <c r="D43" s="23">
        <v>0.1</v>
      </c>
      <c r="E43" s="24">
        <f>SUM(E44:E45)</f>
        <v>1450</v>
      </c>
      <c r="F43" s="24">
        <f>SUM(F44:F45)</f>
        <v>1600</v>
      </c>
      <c r="G43" s="25">
        <f t="shared" si="0"/>
        <v>3.4523809523809526E-2</v>
      </c>
      <c r="H43" s="26" t="str">
        <f>IF($E$7=0,"",IF(G43&gt;D43,"High",IF(G43&lt;C43,"Low","OK")))</f>
        <v>Low</v>
      </c>
      <c r="I43" s="22"/>
    </row>
    <row r="44" spans="1:9" x14ac:dyDescent="0.2">
      <c r="A44" s="11" t="s">
        <v>86</v>
      </c>
      <c r="E44" s="13">
        <v>450</v>
      </c>
      <c r="F44" s="13">
        <v>450</v>
      </c>
      <c r="G44" s="27">
        <f t="shared" si="0"/>
        <v>1.0714285714285714E-2</v>
      </c>
      <c r="I44" s="28" t="s">
        <v>80</v>
      </c>
    </row>
    <row r="45" spans="1:9" x14ac:dyDescent="0.2">
      <c r="A45" s="11" t="s">
        <v>87</v>
      </c>
      <c r="E45" s="13">
        <v>1000</v>
      </c>
      <c r="F45" s="13">
        <v>1150</v>
      </c>
      <c r="G45" s="27">
        <f t="shared" si="0"/>
        <v>2.3809523809523808E-2</v>
      </c>
      <c r="I45" s="28" t="s">
        <v>80</v>
      </c>
    </row>
    <row r="46" spans="1:9" x14ac:dyDescent="0.2">
      <c r="A46" s="21" t="s">
        <v>88</v>
      </c>
      <c r="B46" s="22"/>
      <c r="C46" s="23">
        <v>0.15</v>
      </c>
      <c r="D46" s="29" t="s">
        <v>89</v>
      </c>
      <c r="E46" s="24">
        <f>SUM(E47:E50)</f>
        <v>12000</v>
      </c>
      <c r="F46" s="24">
        <f>SUM(F47:F50)</f>
        <v>12000</v>
      </c>
      <c r="G46" s="25">
        <f t="shared" si="0"/>
        <v>0.2857142857142857</v>
      </c>
      <c r="H46" s="26" t="str">
        <f>IF($E$7=0,"",IF(G46&lt;C46,"Low","OK"))</f>
        <v>OK</v>
      </c>
      <c r="I46" s="22"/>
    </row>
    <row r="47" spans="1:9" x14ac:dyDescent="0.2">
      <c r="A47" s="11" t="s">
        <v>90</v>
      </c>
      <c r="B47" s="12" t="s">
        <v>91</v>
      </c>
      <c r="E47" s="30">
        <f>'Planned Savings'!$F$23</f>
        <v>7500</v>
      </c>
      <c r="F47" s="13">
        <v>7500</v>
      </c>
      <c r="G47" s="27">
        <f t="shared" si="0"/>
        <v>0.17857142857142858</v>
      </c>
      <c r="I47" s="28" t="s">
        <v>92</v>
      </c>
    </row>
    <row r="48" spans="1:9" x14ac:dyDescent="0.2">
      <c r="A48" s="11" t="s">
        <v>93</v>
      </c>
      <c r="B48" s="12" t="s">
        <v>94</v>
      </c>
      <c r="E48" s="13">
        <v>2000</v>
      </c>
      <c r="F48" s="13">
        <v>2000</v>
      </c>
      <c r="G48" s="27">
        <f t="shared" si="0"/>
        <v>4.7619047619047616E-2</v>
      </c>
      <c r="I48" s="28" t="s">
        <v>92</v>
      </c>
    </row>
    <row r="49" spans="1:9" x14ac:dyDescent="0.2">
      <c r="A49" s="11" t="s">
        <v>95</v>
      </c>
      <c r="E49" s="13">
        <v>2000</v>
      </c>
      <c r="F49" s="13">
        <v>2000</v>
      </c>
      <c r="G49" s="27">
        <f t="shared" si="0"/>
        <v>4.7619047619047616E-2</v>
      </c>
      <c r="I49" s="28" t="s">
        <v>92</v>
      </c>
    </row>
    <row r="50" spans="1:9" x14ac:dyDescent="0.2">
      <c r="A50" s="11" t="s">
        <v>96</v>
      </c>
      <c r="B50" s="12" t="s">
        <v>97</v>
      </c>
      <c r="E50" s="13">
        <v>500</v>
      </c>
      <c r="F50" s="13">
        <v>500</v>
      </c>
      <c r="G50" s="27">
        <f t="shared" si="0"/>
        <v>1.1904761904761904E-2</v>
      </c>
      <c r="I50" s="28" t="s">
        <v>92</v>
      </c>
    </row>
    <row r="52" spans="1:9" x14ac:dyDescent="0.2">
      <c r="A52" s="31" t="s">
        <v>98</v>
      </c>
      <c r="B52" s="32"/>
      <c r="C52" s="32"/>
      <c r="D52" s="32"/>
      <c r="E52" s="33">
        <f>E16+E19+E23+E25+E28+E32+E35+E37+E39+E43+E46</f>
        <v>42000</v>
      </c>
      <c r="F52" s="33">
        <f>F16+F19+F23+F25+F28+F32+F35+F37+F39+F43+F46</f>
        <v>42420</v>
      </c>
      <c r="G52" s="34">
        <f>IF($E$7=0,"",E52/$E$7)</f>
        <v>1</v>
      </c>
      <c r="H52" s="32"/>
      <c r="I52" s="32"/>
    </row>
    <row r="53" spans="1:9" x14ac:dyDescent="0.2">
      <c r="A53" s="6" t="s">
        <v>99</v>
      </c>
      <c r="E53" s="14">
        <f>$E$7-E52</f>
        <v>0</v>
      </c>
      <c r="F53" s="15">
        <f>$F$7-F52</f>
        <v>-420</v>
      </c>
    </row>
    <row r="55" spans="1:9" ht="25.5" customHeight="1" x14ac:dyDescent="0.2">
      <c r="A55" s="1" t="s">
        <v>100</v>
      </c>
      <c r="B55" s="1"/>
      <c r="C55" s="1"/>
      <c r="D55" s="1"/>
      <c r="E55" s="1"/>
      <c r="F55" s="1"/>
      <c r="G55" s="1"/>
      <c r="H55" s="1"/>
      <c r="I55" s="1"/>
    </row>
  </sheetData>
  <mergeCells count="2">
    <mergeCell ref="A1:I1"/>
    <mergeCell ref="A55:I5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showGridLines="0" zoomScaleNormal="100" workbookViewId="0"/>
  </sheetViews>
  <sheetFormatPr baseColWidth="10" defaultColWidth="8.6640625" defaultRowHeight="15" x14ac:dyDescent="0.2"/>
  <cols>
    <col min="1" max="1" width="34" customWidth="1"/>
    <col min="2" max="2" width="38" customWidth="1"/>
    <col min="3" max="3" width="13" customWidth="1"/>
    <col min="4" max="4" width="12" customWidth="1"/>
    <col min="5" max="5" width="13" customWidth="1"/>
    <col min="6" max="6" width="12" customWidth="1"/>
    <col min="7" max="7" width="13" customWidth="1"/>
  </cols>
  <sheetData>
    <row r="1" spans="1:7" ht="21.75" customHeight="1" x14ac:dyDescent="0.2">
      <c r="A1" s="2" t="s">
        <v>101</v>
      </c>
      <c r="B1" s="2"/>
      <c r="C1" s="2"/>
      <c r="D1" s="2"/>
      <c r="E1" s="2"/>
      <c r="F1" s="2"/>
      <c r="G1" s="2"/>
    </row>
    <row r="2" spans="1:7" ht="25.5" customHeight="1" x14ac:dyDescent="0.2">
      <c r="A2" s="1" t="s">
        <v>102</v>
      </c>
      <c r="B2" s="1"/>
      <c r="C2" s="1"/>
      <c r="D2" s="1"/>
      <c r="E2" s="1"/>
      <c r="F2" s="1"/>
      <c r="G2" s="1"/>
    </row>
    <row r="4" spans="1:7" x14ac:dyDescent="0.2">
      <c r="A4" s="6" t="s">
        <v>103</v>
      </c>
      <c r="B4" s="12" t="s">
        <v>104</v>
      </c>
      <c r="C4" s="35">
        <v>46235</v>
      </c>
    </row>
    <row r="6" spans="1:7" x14ac:dyDescent="0.2">
      <c r="A6" s="9" t="s">
        <v>105</v>
      </c>
      <c r="B6" s="10" t="s">
        <v>46</v>
      </c>
      <c r="C6" s="10" t="s">
        <v>106</v>
      </c>
      <c r="D6" s="10" t="s">
        <v>107</v>
      </c>
      <c r="E6" s="10" t="s">
        <v>108</v>
      </c>
      <c r="F6" s="10" t="s">
        <v>109</v>
      </c>
      <c r="G6" s="10" t="s">
        <v>110</v>
      </c>
    </row>
    <row r="7" spans="1:7" x14ac:dyDescent="0.2">
      <c r="A7" s="11" t="s">
        <v>111</v>
      </c>
      <c r="B7" s="12" t="s">
        <v>112</v>
      </c>
      <c r="C7" s="13">
        <v>78000</v>
      </c>
      <c r="D7" s="35">
        <v>46722</v>
      </c>
      <c r="E7" s="13">
        <v>30000</v>
      </c>
      <c r="F7" s="36">
        <f>MAX(1,(YEAR(D7)-YEAR($C$4))*12+(MONTH(D7)-MONTH($C$4)))</f>
        <v>16</v>
      </c>
      <c r="G7" s="17">
        <f>(C7-E7)/F7</f>
        <v>3000</v>
      </c>
    </row>
    <row r="8" spans="1:7" x14ac:dyDescent="0.2">
      <c r="A8" s="11" t="s">
        <v>113</v>
      </c>
      <c r="B8" s="12" t="s">
        <v>114</v>
      </c>
      <c r="C8" s="13">
        <v>8000</v>
      </c>
      <c r="D8" s="35">
        <v>46357</v>
      </c>
      <c r="E8" s="13">
        <v>4000</v>
      </c>
      <c r="F8" s="36">
        <f>MAX(1,(YEAR(D8)-YEAR($C$4))*12+(MONTH(D8)-MONTH($C$4)))</f>
        <v>4</v>
      </c>
      <c r="G8" s="17">
        <f>(C8-E8)/F8</f>
        <v>1000</v>
      </c>
    </row>
    <row r="9" spans="1:7" x14ac:dyDescent="0.2">
      <c r="A9" s="11" t="s">
        <v>115</v>
      </c>
      <c r="B9" s="12" t="s">
        <v>116</v>
      </c>
      <c r="C9" s="13">
        <v>9000</v>
      </c>
      <c r="D9" s="35">
        <v>46419</v>
      </c>
      <c r="E9" s="13">
        <v>6000</v>
      </c>
      <c r="F9" s="36">
        <f>MAX(1,(YEAR(D9)-YEAR($C$4))*12+(MONTH(D9)-MONTH($C$4)))</f>
        <v>6</v>
      </c>
      <c r="G9" s="17">
        <f>(C9-E9)/F9</f>
        <v>500</v>
      </c>
    </row>
    <row r="10" spans="1:7" x14ac:dyDescent="0.2">
      <c r="A10" s="11" t="s">
        <v>117</v>
      </c>
      <c r="B10" s="12" t="s">
        <v>118</v>
      </c>
      <c r="C10" s="13">
        <v>3000</v>
      </c>
      <c r="D10" s="35">
        <v>46388</v>
      </c>
      <c r="E10" s="13">
        <v>1500</v>
      </c>
      <c r="F10" s="36">
        <f>MAX(1,(YEAR(D10)-YEAR($C$4))*12+(MONTH(D10)-MONTH($C$4)))</f>
        <v>5</v>
      </c>
      <c r="G10" s="17">
        <f>(C10-E10)/F10</f>
        <v>300</v>
      </c>
    </row>
    <row r="11" spans="1:7" x14ac:dyDescent="0.2">
      <c r="A11" s="11" t="s">
        <v>119</v>
      </c>
      <c r="C11" s="13">
        <v>16000</v>
      </c>
      <c r="D11" s="35">
        <v>46569</v>
      </c>
      <c r="E11" s="13">
        <v>8300</v>
      </c>
      <c r="F11" s="36">
        <f>MAX(1,(YEAR(D11)-YEAR($C$4))*12+(MONTH(D11)-MONTH($C$4)))</f>
        <v>11</v>
      </c>
      <c r="G11" s="17">
        <f>(C11-E11)/F11</f>
        <v>700</v>
      </c>
    </row>
    <row r="12" spans="1:7" x14ac:dyDescent="0.2">
      <c r="A12" s="31" t="s">
        <v>120</v>
      </c>
      <c r="B12" s="32"/>
      <c r="C12" s="32"/>
      <c r="D12" s="32"/>
      <c r="E12" s="32"/>
      <c r="F12" s="32"/>
      <c r="G12" s="33">
        <f>SUM(G7:G11)</f>
        <v>5500</v>
      </c>
    </row>
    <row r="14" spans="1:7" x14ac:dyDescent="0.2">
      <c r="A14" s="9" t="s">
        <v>121</v>
      </c>
      <c r="B14" s="10" t="s">
        <v>46</v>
      </c>
      <c r="G14" s="10" t="s">
        <v>110</v>
      </c>
    </row>
    <row r="15" spans="1:7" x14ac:dyDescent="0.2">
      <c r="A15" s="11" t="s">
        <v>122</v>
      </c>
      <c r="B15" s="12" t="s">
        <v>123</v>
      </c>
      <c r="G15" s="13">
        <v>1200</v>
      </c>
    </row>
    <row r="16" spans="1:7" x14ac:dyDescent="0.2">
      <c r="A16" s="11" t="s">
        <v>124</v>
      </c>
      <c r="B16" s="12" t="s">
        <v>125</v>
      </c>
      <c r="G16" s="13">
        <v>500</v>
      </c>
    </row>
    <row r="17" spans="1:7" x14ac:dyDescent="0.2">
      <c r="A17" s="11" t="s">
        <v>126</v>
      </c>
      <c r="G17" s="13">
        <v>300</v>
      </c>
    </row>
    <row r="18" spans="1:7" x14ac:dyDescent="0.2">
      <c r="A18" s="31" t="s">
        <v>127</v>
      </c>
      <c r="G18" s="33">
        <f>SUM(G15:G17)</f>
        <v>2000</v>
      </c>
    </row>
    <row r="23" spans="1:7" ht="16" x14ac:dyDescent="0.2">
      <c r="A23" s="37" t="s">
        <v>128</v>
      </c>
      <c r="B23" s="12" t="s">
        <v>129</v>
      </c>
      <c r="F23" s="38">
        <f>G12+G18</f>
        <v>7500</v>
      </c>
    </row>
    <row r="26" spans="1:7" x14ac:dyDescent="0.2">
      <c r="A26" s="9" t="s">
        <v>130</v>
      </c>
      <c r="B26" s="39"/>
      <c r="C26" s="39"/>
      <c r="D26" s="39"/>
      <c r="E26" s="39"/>
      <c r="F26" s="39"/>
      <c r="G26" s="39"/>
    </row>
    <row r="27" spans="1:7" x14ac:dyDescent="0.2">
      <c r="A27" s="11" t="s">
        <v>131</v>
      </c>
      <c r="C27" s="13">
        <v>52000</v>
      </c>
    </row>
    <row r="28" spans="1:7" x14ac:dyDescent="0.2">
      <c r="A28" s="11" t="s">
        <v>132</v>
      </c>
      <c r="C28" s="17">
        <f>SUM(E7:E11)</f>
        <v>49800</v>
      </c>
    </row>
    <row r="29" spans="1:7" x14ac:dyDescent="0.2">
      <c r="A29" s="6" t="s">
        <v>133</v>
      </c>
      <c r="C29" s="14">
        <f>C27-C28</f>
        <v>2200</v>
      </c>
    </row>
    <row r="31" spans="1:7" x14ac:dyDescent="0.2">
      <c r="A31" s="3" t="s">
        <v>134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showGridLines="0" zoomScaleNormal="100" workbookViewId="0"/>
  </sheetViews>
  <sheetFormatPr baseColWidth="10" defaultColWidth="8.6640625" defaultRowHeight="15" x14ac:dyDescent="0.2"/>
  <cols>
    <col min="1" max="1" width="34" customWidth="1"/>
    <col min="2" max="2" width="36" customWidth="1"/>
    <col min="3" max="3" width="14" customWidth="1"/>
    <col min="4" max="4" width="4" customWidth="1"/>
    <col min="5" max="5" width="15" customWidth="1"/>
    <col min="6" max="7" width="14" customWidth="1"/>
  </cols>
  <sheetData>
    <row r="1" spans="1:7" ht="21.75" customHeight="1" x14ac:dyDescent="0.2">
      <c r="A1" s="2" t="s">
        <v>135</v>
      </c>
      <c r="B1" s="2"/>
      <c r="C1" s="2"/>
      <c r="D1" s="2"/>
      <c r="E1" s="2"/>
      <c r="F1" s="2"/>
      <c r="G1" s="2"/>
    </row>
    <row r="2" spans="1:7" x14ac:dyDescent="0.2">
      <c r="A2" s="3" t="s">
        <v>136</v>
      </c>
    </row>
    <row r="4" spans="1:7" x14ac:dyDescent="0.2">
      <c r="A4" s="9" t="s">
        <v>137</v>
      </c>
      <c r="B4" s="39"/>
      <c r="C4" s="39"/>
    </row>
    <row r="5" spans="1:7" x14ac:dyDescent="0.2">
      <c r="A5" s="11" t="s">
        <v>138</v>
      </c>
      <c r="C5" s="13">
        <v>15000</v>
      </c>
    </row>
    <row r="6" spans="1:7" x14ac:dyDescent="0.2">
      <c r="A6" s="11" t="s">
        <v>139</v>
      </c>
      <c r="B6" s="12" t="s">
        <v>140</v>
      </c>
      <c r="C6" s="13">
        <v>52000</v>
      </c>
    </row>
    <row r="7" spans="1:7" x14ac:dyDescent="0.2">
      <c r="A7" s="11" t="s">
        <v>141</v>
      </c>
      <c r="C7" s="13">
        <v>30000</v>
      </c>
    </row>
    <row r="8" spans="1:7" x14ac:dyDescent="0.2">
      <c r="A8" s="11" t="s">
        <v>142</v>
      </c>
      <c r="C8" s="13">
        <v>85000</v>
      </c>
    </row>
    <row r="9" spans="1:7" x14ac:dyDescent="0.2">
      <c r="A9" s="11" t="s">
        <v>143</v>
      </c>
      <c r="B9" s="12" t="s">
        <v>144</v>
      </c>
      <c r="C9" s="13">
        <v>220000</v>
      </c>
    </row>
    <row r="10" spans="1:7" x14ac:dyDescent="0.2">
      <c r="A10" s="11" t="s">
        <v>145</v>
      </c>
      <c r="C10" s="13">
        <v>40000</v>
      </c>
    </row>
    <row r="11" spans="1:7" x14ac:dyDescent="0.2">
      <c r="A11" s="11" t="s">
        <v>146</v>
      </c>
      <c r="C11" s="13">
        <v>0</v>
      </c>
    </row>
    <row r="12" spans="1:7" x14ac:dyDescent="0.2">
      <c r="A12" s="11" t="s">
        <v>147</v>
      </c>
      <c r="C12" s="13">
        <v>140000</v>
      </c>
    </row>
    <row r="13" spans="1:7" x14ac:dyDescent="0.2">
      <c r="A13" s="11" t="s">
        <v>148</v>
      </c>
      <c r="C13" s="13">
        <v>5000</v>
      </c>
    </row>
    <row r="14" spans="1:7" x14ac:dyDescent="0.2">
      <c r="A14" s="31" t="s">
        <v>149</v>
      </c>
      <c r="B14" s="32"/>
      <c r="C14" s="33">
        <f>SUM(C5:C13)</f>
        <v>587000</v>
      </c>
    </row>
    <row r="16" spans="1:7" x14ac:dyDescent="0.2">
      <c r="A16" s="9" t="s">
        <v>150</v>
      </c>
      <c r="B16" s="39"/>
      <c r="C16" s="39"/>
    </row>
    <row r="17" spans="1:7" x14ac:dyDescent="0.2">
      <c r="A17" s="11" t="s">
        <v>151</v>
      </c>
      <c r="C17" s="13">
        <v>0</v>
      </c>
    </row>
    <row r="18" spans="1:7" x14ac:dyDescent="0.2">
      <c r="A18" s="11" t="s">
        <v>152</v>
      </c>
      <c r="C18" s="13">
        <v>60000</v>
      </c>
    </row>
    <row r="19" spans="1:7" x14ac:dyDescent="0.2">
      <c r="A19" s="11" t="s">
        <v>153</v>
      </c>
      <c r="C19" s="13">
        <v>12000</v>
      </c>
    </row>
    <row r="20" spans="1:7" x14ac:dyDescent="0.2">
      <c r="A20" s="11" t="s">
        <v>154</v>
      </c>
      <c r="C20" s="13">
        <v>0</v>
      </c>
    </row>
    <row r="21" spans="1:7" x14ac:dyDescent="0.2">
      <c r="A21" s="11" t="s">
        <v>155</v>
      </c>
      <c r="C21" s="13">
        <v>0</v>
      </c>
    </row>
    <row r="22" spans="1:7" x14ac:dyDescent="0.2">
      <c r="A22" s="31" t="s">
        <v>156</v>
      </c>
      <c r="C22" s="33">
        <f>SUM(C17:C21)</f>
        <v>72000</v>
      </c>
    </row>
    <row r="24" spans="1:7" ht="17" x14ac:dyDescent="0.2">
      <c r="A24" s="40" t="s">
        <v>157</v>
      </c>
      <c r="C24" s="41">
        <f>C14-C22</f>
        <v>515000</v>
      </c>
    </row>
    <row r="27" spans="1:7" x14ac:dyDescent="0.2">
      <c r="A27" s="9" t="s">
        <v>158</v>
      </c>
      <c r="B27" s="39"/>
      <c r="C27" s="10" t="s">
        <v>159</v>
      </c>
      <c r="D27" s="39"/>
      <c r="E27" s="10" t="s">
        <v>160</v>
      </c>
      <c r="F27" s="10" t="s">
        <v>161</v>
      </c>
      <c r="G27" s="10" t="s">
        <v>162</v>
      </c>
    </row>
    <row r="28" spans="1:7" x14ac:dyDescent="0.2">
      <c r="A28" s="42">
        <v>46174</v>
      </c>
      <c r="C28" s="13">
        <v>570000</v>
      </c>
      <c r="E28" s="13">
        <v>78000</v>
      </c>
      <c r="F28" s="17">
        <f t="shared" ref="F28:F39" si="0">IF(C28="","",C28-E28)</f>
        <v>492000</v>
      </c>
      <c r="G28" s="43" t="s">
        <v>163</v>
      </c>
    </row>
    <row r="29" spans="1:7" x14ac:dyDescent="0.2">
      <c r="A29" s="42">
        <v>46204</v>
      </c>
      <c r="C29" s="13">
        <v>578000</v>
      </c>
      <c r="E29" s="13">
        <v>75000</v>
      </c>
      <c r="F29" s="17">
        <f t="shared" si="0"/>
        <v>503000</v>
      </c>
      <c r="G29" s="17">
        <f t="shared" ref="G29:G39" si="1">IF(OR(F29="",F28=""),"",F29-F28)</f>
        <v>11000</v>
      </c>
    </row>
    <row r="30" spans="1:7" x14ac:dyDescent="0.2">
      <c r="A30" s="42">
        <v>46235</v>
      </c>
      <c r="C30" s="13">
        <v>587000</v>
      </c>
      <c r="E30" s="13">
        <v>72000</v>
      </c>
      <c r="F30" s="17">
        <f t="shared" si="0"/>
        <v>515000</v>
      </c>
      <c r="G30" s="17">
        <f t="shared" si="1"/>
        <v>12000</v>
      </c>
    </row>
    <row r="31" spans="1:7" x14ac:dyDescent="0.2">
      <c r="A31" s="42"/>
      <c r="C31" s="13"/>
      <c r="E31" s="13"/>
      <c r="F31" s="17" t="str">
        <f t="shared" si="0"/>
        <v/>
      </c>
      <c r="G31" s="17" t="str">
        <f t="shared" si="1"/>
        <v/>
      </c>
    </row>
    <row r="32" spans="1:7" x14ac:dyDescent="0.2">
      <c r="A32" s="42"/>
      <c r="C32" s="13"/>
      <c r="E32" s="13"/>
      <c r="F32" s="17" t="str">
        <f t="shared" si="0"/>
        <v/>
      </c>
      <c r="G32" s="17" t="str">
        <f t="shared" si="1"/>
        <v/>
      </c>
    </row>
    <row r="33" spans="1:7" x14ac:dyDescent="0.2">
      <c r="A33" s="42"/>
      <c r="C33" s="13"/>
      <c r="E33" s="13"/>
      <c r="F33" s="17" t="str">
        <f t="shared" si="0"/>
        <v/>
      </c>
      <c r="G33" s="17" t="str">
        <f t="shared" si="1"/>
        <v/>
      </c>
    </row>
    <row r="34" spans="1:7" x14ac:dyDescent="0.2">
      <c r="A34" s="42"/>
      <c r="C34" s="13"/>
      <c r="E34" s="13"/>
      <c r="F34" s="17" t="str">
        <f t="shared" si="0"/>
        <v/>
      </c>
      <c r="G34" s="17" t="str">
        <f t="shared" si="1"/>
        <v/>
      </c>
    </row>
    <row r="35" spans="1:7" x14ac:dyDescent="0.2">
      <c r="A35" s="42"/>
      <c r="C35" s="13"/>
      <c r="E35" s="13"/>
      <c r="F35" s="17" t="str">
        <f t="shared" si="0"/>
        <v/>
      </c>
      <c r="G35" s="17" t="str">
        <f t="shared" si="1"/>
        <v/>
      </c>
    </row>
    <row r="36" spans="1:7" x14ac:dyDescent="0.2">
      <c r="A36" s="42"/>
      <c r="C36" s="13"/>
      <c r="E36" s="13"/>
      <c r="F36" s="17" t="str">
        <f t="shared" si="0"/>
        <v/>
      </c>
      <c r="G36" s="17" t="str">
        <f t="shared" si="1"/>
        <v/>
      </c>
    </row>
    <row r="37" spans="1:7" x14ac:dyDescent="0.2">
      <c r="A37" s="42"/>
      <c r="C37" s="13"/>
      <c r="E37" s="13"/>
      <c r="F37" s="17" t="str">
        <f t="shared" si="0"/>
        <v/>
      </c>
      <c r="G37" s="17" t="str">
        <f t="shared" si="1"/>
        <v/>
      </c>
    </row>
    <row r="38" spans="1:7" x14ac:dyDescent="0.2">
      <c r="A38" s="42"/>
      <c r="C38" s="13"/>
      <c r="E38" s="13"/>
      <c r="F38" s="17" t="str">
        <f t="shared" si="0"/>
        <v/>
      </c>
      <c r="G38" s="17" t="str">
        <f t="shared" si="1"/>
        <v/>
      </c>
    </row>
    <row r="39" spans="1:7" x14ac:dyDescent="0.2">
      <c r="A39" s="42"/>
      <c r="C39" s="13"/>
      <c r="E39" s="13"/>
      <c r="F39" s="17" t="str">
        <f t="shared" si="0"/>
        <v/>
      </c>
      <c r="G39" s="17" t="str">
        <f t="shared" si="1"/>
        <v/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Budget</vt:lpstr>
      <vt:lpstr>Planned Savings</vt:lpstr>
      <vt:lpstr>Net Worth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Rodolfo Slay Ramos</cp:lastModifiedBy>
  <cp:revision>1</cp:revision>
  <dcterms:created xsi:type="dcterms:W3CDTF">2026-07-14T19:34:03Z</dcterms:created>
  <dcterms:modified xsi:type="dcterms:W3CDTF">2026-07-18T00:14:43Z</dcterms:modified>
  <dc:language>en-US</dc:language>
</cp:coreProperties>
</file>