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_rels/sheet3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README" sheetId="1" state="visible" r:id="rId3"/>
    <sheet name="Pricing" sheetId="2" state="visible" r:id="rId4"/>
    <sheet name="Bootstrap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<sst xmlns="http://schemas.openxmlformats.org/spreadsheetml/2006/main" count="68" uniqueCount="65">
  <si>
    <t xml:space="preserve">CDS Pricing Template</t>
  </si>
  <si>
    <t xml:space="preserve">Companion download to Module 5 — Reduced-Form Models, at rodoslay.com/credit-models/05-reduced-form-models</t>
  </si>
  <si>
    <t xml:space="preserve">WHAT THIS WORKBOOK DOES</t>
  </si>
  <si>
    <t xml:space="preserve">Sheet 'Pricing' prices a single-name CDS from a flat hazard rate: survival curve, premium leg, protection leg,</t>
  </si>
  <si>
    <t xml:space="preserve">fair spread, and the mark-to-market of a position struck at a different spread.</t>
  </si>
  <si>
    <t xml:space="preserve">Sheet 'Bootstrap' runs the other direction: from a strip of market CDS quotes (1y–10y), it recovers the implied</t>
  </si>
  <si>
    <t xml:space="preserve">piecewise-constant hazard curve, survival probabilities, and cumulative PDs — sequentially, in closed form.</t>
  </si>
  <si>
    <t xml:space="preserve">HOW TO USE IT</t>
  </si>
  <si>
    <t xml:space="preserve">Blue cells are inputs — edit those. Black cells are formulas — leave them. Yellow cells are the key assumptions.</t>
  </si>
  <si>
    <t xml:space="preserve">Start on 'Pricing': set the hazard rate, recovery, risk-free rate and maturity, and read off the fair spread.</t>
  </si>
  <si>
    <t xml:space="preserve">Then on 'Bootstrap': type a spread curve you see quoted, and read off what the market is implying about default.</t>
  </si>
  <si>
    <t xml:space="preserve">SIMPLIFICATIONS (deliberate, for teaching)</t>
  </si>
  <si>
    <t xml:space="preserve">• Quarterly premium payments; defaults assumed to occur at period ends (no accrued-premium-on-default term).</t>
  </si>
  <si>
    <t xml:space="preserve">• Flat continuously-compounded risk-free curve; independence of rates and default.</t>
  </si>
  <si>
    <t xml:space="preserve">• Recovery of face value, fixed at the input R. Standard market convention is R = 40% for senior unsecured.</t>
  </si>
  <si>
    <t xml:space="preserve">These match the formulas in the blog post. A production system adds accrual-on-default, a full discount curve,</t>
  </si>
  <si>
    <t xml:space="preserve">and the ISDA standard model conventions — none of which change the intuition built here.</t>
  </si>
  <si>
    <t xml:space="preserve">THE TWO FORMULAS EVERYTHING RESTS ON</t>
  </si>
  <si>
    <t xml:space="preserve">Premium leg PV  =  s × Σ Δ·P(0,t)·S(t)        (spread × 'risky PV01')</t>
  </si>
  <si>
    <t xml:space="preserve">Protection PV   =  (1−R) × Σ P(0,t)·[S(t−Δ)−S(t)]</t>
  </si>
  <si>
    <t xml:space="preserve">Fair spread equates the two. The credit triangle s ≈ λ(1−R) is the one-line approximation of this equality.</t>
  </si>
  <si>
    <t xml:space="preserve">CDS Pricing — flat hazard</t>
  </si>
  <si>
    <t xml:space="preserve">Edit the blue inputs; everything else recalculates.</t>
  </si>
  <si>
    <t xml:space="preserve">Inputs</t>
  </si>
  <si>
    <t xml:space="preserve">Hazard rate λ (per year)</t>
  </si>
  <si>
    <t xml:space="preserve">← key assumption: the default intensity</t>
  </si>
  <si>
    <t xml:space="preserve">Recovery rate R</t>
  </si>
  <si>
    <t xml:space="preserve">← key assumption: market convention is 40% senior unsecured</t>
  </si>
  <si>
    <t xml:space="preserve">Risk-free rate r (cont. comp.)</t>
  </si>
  <si>
    <t xml:space="preserve">Maturity (years)</t>
  </si>
  <si>
    <t xml:space="preserve">Payment frequency (per year)</t>
  </si>
  <si>
    <t xml:space="preserve">Notional</t>
  </si>
  <si>
    <t xml:space="preserve">Contract spread (for MTM, bps)</t>
  </si>
  <si>
    <t xml:space="preserve">Schedule (quarterly)</t>
  </si>
  <si>
    <t xml:space="preserve">Period</t>
  </si>
  <si>
    <t xml:space="preserve">t (years)</t>
  </si>
  <si>
    <t xml:space="preserve">Discount P(0,t)</t>
  </si>
  <si>
    <t xml:space="preserve">Survival S(t)</t>
  </si>
  <si>
    <t xml:space="preserve">Premium leg unit: Δ·P·S</t>
  </si>
  <si>
    <t xml:space="preserve">Protection unit: P·[S(t−Δ)−S(t)]</t>
  </si>
  <si>
    <t xml:space="preserve">Results</t>
  </si>
  <si>
    <t xml:space="preserve">Risky PV01 (Σ Δ·P·S)</t>
  </si>
  <si>
    <t xml:space="preserve">Protection leg PV (per 1 notional)</t>
  </si>
  <si>
    <t xml:space="preserve">Fair spread (decimal)</t>
  </si>
  <si>
    <t xml:space="preserve">Fair spread (bps)</t>
  </si>
  <si>
    <t xml:space="preserve">Credit triangle check: λ(1−R) in bps</t>
  </si>
  <si>
    <t xml:space="preserve">← should sit close to the fair spread; the gap is discounting + discreteness</t>
  </si>
  <si>
    <t xml:space="preserve">Premium leg PV at contract spread</t>
  </si>
  <si>
    <t xml:space="preserve">Protection leg PV on notional</t>
  </si>
  <si>
    <t xml:space="preserve">MTM to protection buyer (fair − contract)</t>
  </si>
  <si>
    <t xml:space="preserve">← positive: paying below fair means the position has value</t>
  </si>
  <si>
    <t xml:space="preserve">Hazard-curve bootstrap from market CDS quotes</t>
  </si>
  <si>
    <t xml:space="preserve">Annual premium payments, defaults at year-ends — this makes each year's survival solvable in closed form,</t>
  </si>
  <si>
    <t xml:space="preserve">so the whole bootstrap is plain cell formulas (no solver needed). Sequence: year n uses years 1..n−1.</t>
  </si>
  <si>
    <t xml:space="preserve">Risk-free rate r (cont.)</t>
  </si>
  <si>
    <t xml:space="preserve">Year</t>
  </si>
  <si>
    <t xml:space="preserve">Market spread (bps)</t>
  </si>
  <si>
    <t xml:space="preserve">Spread s (dec.)</t>
  </si>
  <si>
    <t xml:space="preserve">Implied hazard λ(t) = −ln(S(t)/S(t−1))</t>
  </si>
  <si>
    <t xml:space="preserve">Cumulative PD</t>
  </si>
  <si>
    <t xml:space="preserve">Marginal PD</t>
  </si>
  <si>
    <t xml:space="preserve">prot. unit</t>
  </si>
  <si>
    <t xml:space="preserve">rpv01 unit</t>
  </si>
  <si>
    <t xml:space="preserve">Try it: change recovery from 40% to 20% — the implied hazards fall (~each spread now 'buys' more</t>
  </si>
  <si>
    <t xml:space="preserve">loss per default'), and cumulative PDs reprice across the whole curve. That's the credit triangle, live.</t>
  </si>
</sst>
</file>

<file path=xl/styles.xml><?xml version="1.0" encoding="utf-8"?>
<styleSheet xmlns="http://schemas.openxmlformats.org/spreadsheetml/2006/main">
  <numFmts count="11">
    <numFmt numFmtId="164" formatCode="General"/>
    <numFmt numFmtId="165" formatCode="0.00%"/>
    <numFmt numFmtId="166" formatCode="0%"/>
    <numFmt numFmtId="167" formatCode="0"/>
    <numFmt numFmtId="168" formatCode="#,##0"/>
    <numFmt numFmtId="169" formatCode="0.00"/>
    <numFmt numFmtId="170" formatCode="0.0000"/>
    <numFmt numFmtId="171" formatCode="0.00000"/>
    <numFmt numFmtId="172" formatCode="0.0000%"/>
    <numFmt numFmtId="173" formatCode="#,##0.0"/>
    <numFmt numFmtId="174" formatCode="0.000%"/>
  </numFmts>
  <fonts count="14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3"/>
      <color rgb="FF1F4D3A"/>
      <name val="Arial"/>
      <family val="0"/>
      <charset val="1"/>
    </font>
    <font>
      <i val="true"/>
      <sz val="9"/>
      <color rgb="FF5C5C5C"/>
      <name val="Arial"/>
      <family val="0"/>
      <charset val="1"/>
    </font>
    <font>
      <b val="true"/>
      <sz val="11"/>
      <color rgb="FF1F4D3A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0"/>
      <name val="Arial"/>
      <family val="0"/>
      <charset val="1"/>
    </font>
    <font>
      <b val="true"/>
      <sz val="18"/>
      <color rgb="FF000000"/>
      <name val="Calibri"/>
      <family val="2"/>
    </font>
    <font>
      <sz val="10"/>
      <color rgb="FF000000"/>
      <name val="Calibri"/>
      <family val="2"/>
    </font>
    <font>
      <b val="true"/>
      <sz val="10"/>
      <color rgb="FF00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1F4D3A"/>
        <bgColor rgb="FF3333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B0B0B0"/>
      </left>
      <right style="thin">
        <color rgb="FFB0B0B0"/>
      </right>
      <top style="thin">
        <color rgb="FFB0B0B0"/>
      </top>
      <bottom style="thin">
        <color rgb="FFB0B0B0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7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8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0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1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2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73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7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0B0B0"/>
      <rgbColor rgb="FF878787"/>
      <rgbColor rgb="FF9999FF"/>
      <rgbColor rgb="FF993366"/>
      <rgbColor rgb="FFFFFF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4A7EBB"/>
      <rgbColor rgb="FF33CCCC"/>
      <rgbColor rgb="FF99CC00"/>
      <rgbColor rgb="FFFFCC00"/>
      <rgbColor rgb="FFFF9900"/>
      <rgbColor rgb="FFFF6600"/>
      <rgbColor rgb="FF5C5C5C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1F4D3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roundedCorners val="0"/>
  <c:chart>
    <c:title>
      <c:tx>
        <c:rich>
          <a:bodyPr rot="0"/>
          <a:lstStyle/>
          <a:p>
            <a:pPr>
              <a:defRPr b="1" sz="1800" spc="-1" strike="noStrike">
                <a:solidFill>
                  <a:srgbClr val="000000"/>
                </a:solidFill>
                <a:latin typeface="Calibri"/>
              </a:defRPr>
            </a:pPr>
            <a:r>
              <a:rPr b="1" sz="1800" spc="-1" strike="noStrike">
                <a:solidFill>
                  <a:srgbClr val="000000"/>
                </a:solidFill>
                <a:latin typeface="Calibri"/>
              </a:rPr>
              <a:t>Bootstrapped survival curve S(t)</a:t>
            </a:r>
          </a:p>
        </c:rich>
      </c:tx>
      <c:overlay val="0"/>
      <c:spPr>
        <a:noFill/>
        <a:ln w="0">
          <a:noFill/>
        </a:ln>
      </c:spPr>
    </c:title>
    <c:autoTitleDeleted val="0"/>
    <c:plotArea>
      <c:lineChart>
        <c:grouping val="standard"/>
        <c:varyColors val="0"/>
        <c:ser>
          <c:idx val="0"/>
          <c:order val="0"/>
          <c:tx>
            <c:strRef>
              <c:f>Bootstrap!F10</c:f>
              <c:strCache>
                <c:ptCount val="1"/>
                <c:pt idx="0">
                  <c:v>Survival S(t)</c:v>
                </c:pt>
              </c:strCache>
            </c:strRef>
          </c:tx>
          <c:spPr>
            <a:solidFill>
              <a:srgbClr val="4a7ebb"/>
            </a:solidFill>
            <a:ln w="28440">
              <a:solidFill>
                <a:srgbClr val="4a7ebb"/>
              </a:solidFill>
              <a:round/>
            </a:ln>
          </c:spPr>
          <c:marker>
            <c:symbol val="none"/>
          </c:marker>
          <c:dLbls>
            <c:txPr>
              <a:bodyPr wrap="none"/>
              <a:lstStyle/>
              <a:p>
                <a:pPr>
                  <a:defRPr b="0" sz="1000" spc="-1" strike="noStrike">
                    <a:latin typeface="Arial"/>
                  </a:defRPr>
                </a:pPr>
              </a:p>
            </c:txPr>
            <c:showLegendKey val="0"/>
            <c:showVal val="0"/>
            <c:showCatName val="0"/>
            <c:showSerName val="0"/>
            <c:showPercent val="0"/>
            <c:separator> </c:separator>
            <c:showLeaderLines val="1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Bootstrap!$B$11:$B$20</c:f>
              <c:strCache>
                <c:ptCount val="10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</c:strCache>
            </c:strRef>
          </c:cat>
          <c:val>
            <c:numRef>
              <c:f>Bootstrap!$F$11:$F$20</c:f>
              <c:numCache>
                <c:formatCode>0.0000</c:formatCode>
                <c:ptCount val="10"/>
                <c:pt idx="0">
                  <c:v>0.986842105263158</c:v>
                </c:pt>
                <c:pt idx="1">
                  <c:v>0.968932878284689</c:v>
                </c:pt>
                <c:pt idx="2">
                  <c:v>0.946388647080734</c:v>
                </c:pt>
                <c:pt idx="3">
                  <c:v>0.921359722084412</c:v>
                </c:pt>
                <c:pt idx="4">
                  <c:v>0.893783877046901</c:v>
                </c:pt>
                <c:pt idx="5">
                  <c:v>0.865298458684398</c:v>
                </c:pt>
                <c:pt idx="6">
                  <c:v>0.835795252696098</c:v>
                </c:pt>
                <c:pt idx="7">
                  <c:v>0.805854164147479</c:v>
                </c:pt>
                <c:pt idx="8">
                  <c:v>0.776033799613619</c:v>
                </c:pt>
                <c:pt idx="9">
                  <c:v>0.746869433417054</c:v>
                </c:pt>
              </c:numCache>
            </c:numRef>
          </c:val>
          <c:smooth val="1"/>
        </c:ser>
        <c:hiLowLines>
          <c:spPr>
            <a:ln w="0">
              <a:noFill/>
            </a:ln>
          </c:spPr>
        </c:hiLowLines>
        <c:marker val="0"/>
        <c:axId val="45772827"/>
        <c:axId val="73398714"/>
      </c:lineChart>
      <c:catAx>
        <c:axId val="45772827"/>
        <c:scaling>
          <c:orientation val="minMax"/>
        </c:scaling>
        <c:delete val="0"/>
        <c:axPos val="b"/>
        <c:title>
          <c:tx>
            <c:rich>
              <a:bodyPr rot="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Years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General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73398714"/>
        <c:crosses val="autoZero"/>
        <c:auto val="1"/>
        <c:lblAlgn val="ctr"/>
        <c:lblOffset val="100"/>
        <c:noMultiLvlLbl val="0"/>
      </c:catAx>
      <c:valAx>
        <c:axId val="73398714"/>
        <c:scaling>
          <c:orientation val="minMax"/>
        </c:scaling>
        <c:delete val="0"/>
        <c:axPos val="l"/>
        <c:majorGridlines>
          <c:spPr>
            <a:ln w="9360">
              <a:solidFill>
                <a:srgbClr val="878787"/>
              </a:solidFill>
              <a:round/>
            </a:ln>
          </c:spPr>
        </c:majorGridlines>
        <c:title>
          <c:tx>
            <c:rich>
              <a:bodyPr rot="-5400000"/>
              <a:lstStyle/>
              <a:p>
                <a:pPr>
                  <a:defRPr b="1" sz="1000" spc="-1" strike="noStrike">
                    <a:solidFill>
                      <a:srgbClr val="000000"/>
                    </a:solidFill>
                    <a:latin typeface="Calibri"/>
                  </a:defRPr>
                </a:pPr>
                <a:r>
                  <a:rPr b="1" sz="1000" spc="-1" strike="noStrike">
                    <a:solidFill>
                      <a:srgbClr val="000000"/>
                    </a:solidFill>
                    <a:latin typeface="Calibri"/>
                  </a:rPr>
                  <a:t>Survival probability</a:t>
                </a:r>
              </a:p>
            </c:rich>
          </c:tx>
          <c:overlay val="0"/>
          <c:spPr>
            <a:noFill/>
            <a:ln w="0">
              <a:noFill/>
            </a:ln>
          </c:spPr>
        </c:title>
        <c:numFmt formatCode="0.0000" sourceLinked="1"/>
        <c:majorTickMark val="none"/>
        <c:minorTickMark val="none"/>
        <c:tickLblPos val="nextTo"/>
        <c:spPr>
          <a:ln w="9360">
            <a:solidFill>
              <a:srgbClr val="878787"/>
            </a:solidFill>
            <a:round/>
          </a:ln>
        </c:spPr>
        <c:txPr>
          <a:bodyPr/>
          <a:lstStyle/>
          <a:p>
            <a:pPr>
              <a:defRPr b="0" sz="1000" spc="-1" strike="noStrike">
                <a:solidFill>
                  <a:srgbClr val="000000"/>
                </a:solidFill>
                <a:latin typeface="Calibri"/>
              </a:defRPr>
            </a:pPr>
          </a:p>
        </c:txPr>
        <c:crossAx val="45772827"/>
        <c:crosses val="autoZero"/>
        <c:crossBetween val="between"/>
      </c:valAx>
      <c:spPr>
        <a:noFill/>
        <a:ln w="0">
          <a:noFill/>
        </a:ln>
      </c:spPr>
    </c:plotArea>
    <c:legend>
      <c:legendPos val="r"/>
      <c:overlay val="0"/>
      <c:spPr>
        <a:noFill/>
        <a:ln w="0">
          <a:noFill/>
        </a:ln>
      </c:spPr>
      <c:txPr>
        <a:bodyPr/>
        <a:lstStyle/>
        <a:p>
          <a:pPr>
            <a:defRPr b="0" sz="1000" spc="-1" strike="noStrike">
              <a:solidFill>
                <a:srgbClr val="000000"/>
              </a:solidFill>
              <a:latin typeface="Calibri"/>
            </a:defRPr>
          </a:pPr>
        </a:p>
      </c:txPr>
    </c:legend>
    <c:plotVisOnly val="1"/>
    <c:dispBlanksAs val="gap"/>
  </c:chart>
  <c:spPr>
    <a:solidFill>
      <a:srgbClr val="ffffff"/>
    </a:solidFill>
    <a:ln w="9360">
      <a:solidFill>
        <a:srgbClr val="d9d9d9"/>
      </a:solidFill>
      <a:round/>
    </a:ln>
  </c:spPr>
</c:chartSpace>
</file>

<file path=xl/drawings/_rels/drawing1.xml.rels><?xml version="1.0" encoding="UTF-8"?>
<Relationships xmlns="http://schemas.openxmlformats.org/package/2006/relationships"><Relationship Id="rId1" Type="http://schemas.openxmlformats.org/officeDocument/2006/relationships/chart" Target="../charts/char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1</xdr:col>
      <xdr:colOff>0</xdr:colOff>
      <xdr:row>22</xdr:row>
      <xdr:rowOff>111600</xdr:rowOff>
    </xdr:from>
    <xdr:to>
      <xdr:col>6</xdr:col>
      <xdr:colOff>755280</xdr:colOff>
      <xdr:row>37</xdr:row>
      <xdr:rowOff>133920</xdr:rowOff>
    </xdr:to>
    <xdr:graphicFrame>
      <xdr:nvGraphicFramePr>
        <xdr:cNvPr id="0" name="Chart 1"/>
        <xdr:cNvGraphicFramePr/>
      </xdr:nvGraphicFramePr>
      <xdr:xfrm>
        <a:off x="141120" y="4572000"/>
        <a:ext cx="5759640" cy="287964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_rels/sheet3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B26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"/>
    <col collapsed="false" customWidth="true" hidden="false" outlineLevel="0" max="2" min="2" style="0" width="100"/>
  </cols>
  <sheetData>
    <row r="2" customFormat="false" ht="16.15" hidden="false" customHeight="false" outlineLevel="0" collapsed="false">
      <c r="B2" s="1" t="s">
        <v>0</v>
      </c>
    </row>
    <row r="3" customFormat="false" ht="15" hidden="false" customHeight="false" outlineLevel="0" collapsed="false">
      <c r="B3" s="2" t="s">
        <v>1</v>
      </c>
    </row>
    <row r="5" customFormat="false" ht="15" hidden="false" customHeight="false" outlineLevel="0" collapsed="false">
      <c r="B5" s="3" t="s">
        <v>2</v>
      </c>
    </row>
    <row r="6" customFormat="false" ht="15" hidden="false" customHeight="false" outlineLevel="0" collapsed="false">
      <c r="B6" s="4" t="s">
        <v>3</v>
      </c>
    </row>
    <row r="7" customFormat="false" ht="15" hidden="false" customHeight="false" outlineLevel="0" collapsed="false">
      <c r="B7" s="4" t="s">
        <v>4</v>
      </c>
    </row>
    <row r="8" customFormat="false" ht="15" hidden="false" customHeight="false" outlineLevel="0" collapsed="false">
      <c r="B8" s="4" t="s">
        <v>5</v>
      </c>
    </row>
    <row r="9" customFormat="false" ht="15" hidden="false" customHeight="false" outlineLevel="0" collapsed="false">
      <c r="B9" s="4" t="s">
        <v>6</v>
      </c>
    </row>
    <row r="11" customFormat="false" ht="15" hidden="false" customHeight="false" outlineLevel="0" collapsed="false">
      <c r="B11" s="3" t="s">
        <v>7</v>
      </c>
    </row>
    <row r="12" customFormat="false" ht="15" hidden="false" customHeight="false" outlineLevel="0" collapsed="false">
      <c r="B12" s="4" t="s">
        <v>8</v>
      </c>
    </row>
    <row r="13" customFormat="false" ht="15" hidden="false" customHeight="false" outlineLevel="0" collapsed="false">
      <c r="B13" s="4" t="s">
        <v>9</v>
      </c>
    </row>
    <row r="14" customFormat="false" ht="15" hidden="false" customHeight="false" outlineLevel="0" collapsed="false">
      <c r="B14" s="4" t="s">
        <v>10</v>
      </c>
    </row>
    <row r="16" customFormat="false" ht="15" hidden="false" customHeight="false" outlineLevel="0" collapsed="false">
      <c r="B16" s="3" t="s">
        <v>11</v>
      </c>
    </row>
    <row r="17" customFormat="false" ht="15" hidden="false" customHeight="false" outlineLevel="0" collapsed="false">
      <c r="B17" s="4" t="s">
        <v>12</v>
      </c>
    </row>
    <row r="18" customFormat="false" ht="15" hidden="false" customHeight="false" outlineLevel="0" collapsed="false">
      <c r="B18" s="4" t="s">
        <v>13</v>
      </c>
    </row>
    <row r="19" customFormat="false" ht="15" hidden="false" customHeight="false" outlineLevel="0" collapsed="false">
      <c r="B19" s="4" t="s">
        <v>14</v>
      </c>
    </row>
    <row r="20" customFormat="false" ht="15" hidden="false" customHeight="false" outlineLevel="0" collapsed="false">
      <c r="B20" s="4" t="s">
        <v>15</v>
      </c>
    </row>
    <row r="21" customFormat="false" ht="15" hidden="false" customHeight="false" outlineLevel="0" collapsed="false">
      <c r="B21" s="4" t="s">
        <v>16</v>
      </c>
    </row>
    <row r="23" customFormat="false" ht="15" hidden="false" customHeight="false" outlineLevel="0" collapsed="false">
      <c r="B23" s="3" t="s">
        <v>17</v>
      </c>
    </row>
    <row r="24" customFormat="false" ht="15" hidden="false" customHeight="false" outlineLevel="0" collapsed="false">
      <c r="B24" s="4" t="s">
        <v>18</v>
      </c>
    </row>
    <row r="25" customFormat="false" ht="15" hidden="false" customHeight="false" outlineLevel="0" collapsed="false">
      <c r="B25" s="4" t="s">
        <v>19</v>
      </c>
    </row>
    <row r="26" customFormat="false" ht="15" hidden="false" customHeight="false" outlineLevel="0" collapsed="false">
      <c r="B26" s="4" t="s">
        <v>20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G44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30"/>
    <col collapsed="false" customWidth="true" hidden="false" outlineLevel="0" max="4" min="3" style="0" width="13"/>
    <col collapsed="false" customWidth="true" hidden="false" outlineLevel="0" max="5" min="5" style="0" width="15"/>
    <col collapsed="false" customWidth="true" hidden="false" outlineLevel="0" max="6" min="6" style="0" width="16"/>
    <col collapsed="false" customWidth="true" hidden="false" outlineLevel="0" max="7" min="7" style="0" width="17"/>
    <col collapsed="false" customWidth="true" hidden="false" outlineLevel="0" max="8" min="8" style="0" width="2"/>
  </cols>
  <sheetData>
    <row r="2" customFormat="false" ht="16.15" hidden="false" customHeight="false" outlineLevel="0" collapsed="false">
      <c r="B2" s="1" t="s">
        <v>21</v>
      </c>
    </row>
    <row r="3" customFormat="false" ht="15" hidden="false" customHeight="false" outlineLevel="0" collapsed="false">
      <c r="B3" s="2" t="s">
        <v>22</v>
      </c>
    </row>
    <row r="4" customFormat="false" ht="15" hidden="false" customHeight="false" outlineLevel="0" collapsed="false">
      <c r="B4" s="3" t="s">
        <v>23</v>
      </c>
    </row>
    <row r="5" customFormat="false" ht="15" hidden="false" customHeight="false" outlineLevel="0" collapsed="false">
      <c r="B5" s="4" t="s">
        <v>24</v>
      </c>
      <c r="C5" s="5" t="n">
        <v>0.02</v>
      </c>
      <c r="D5" s="2" t="s">
        <v>25</v>
      </c>
    </row>
    <row r="6" customFormat="false" ht="15" hidden="false" customHeight="false" outlineLevel="0" collapsed="false">
      <c r="B6" s="4" t="s">
        <v>26</v>
      </c>
      <c r="C6" s="6" t="n">
        <v>0.4</v>
      </c>
      <c r="D6" s="2" t="s">
        <v>27</v>
      </c>
    </row>
    <row r="7" customFormat="false" ht="15" hidden="false" customHeight="false" outlineLevel="0" collapsed="false">
      <c r="B7" s="4" t="s">
        <v>28</v>
      </c>
      <c r="C7" s="7" t="n">
        <v>0.04</v>
      </c>
    </row>
    <row r="8" customFormat="false" ht="15" hidden="false" customHeight="false" outlineLevel="0" collapsed="false">
      <c r="B8" s="4" t="s">
        <v>29</v>
      </c>
      <c r="C8" s="8" t="n">
        <v>5</v>
      </c>
    </row>
    <row r="9" customFormat="false" ht="15" hidden="false" customHeight="false" outlineLevel="0" collapsed="false">
      <c r="B9" s="4" t="s">
        <v>30</v>
      </c>
      <c r="C9" s="8" t="n">
        <v>4</v>
      </c>
    </row>
    <row r="10" customFormat="false" ht="15" hidden="false" customHeight="false" outlineLevel="0" collapsed="false">
      <c r="B10" s="4" t="s">
        <v>31</v>
      </c>
      <c r="C10" s="9" t="n">
        <v>10000000</v>
      </c>
    </row>
    <row r="11" customFormat="false" ht="15" hidden="false" customHeight="false" outlineLevel="0" collapsed="false">
      <c r="B11" s="4" t="s">
        <v>32</v>
      </c>
      <c r="C11" s="9" t="n">
        <v>150</v>
      </c>
    </row>
    <row r="13" customFormat="false" ht="15" hidden="false" customHeight="false" outlineLevel="0" collapsed="false">
      <c r="B13" s="3" t="s">
        <v>33</v>
      </c>
    </row>
    <row r="14" customFormat="false" ht="23.85" hidden="false" customHeight="false" outlineLevel="0" collapsed="false">
      <c r="B14" s="10" t="s">
        <v>34</v>
      </c>
      <c r="C14" s="10" t="s">
        <v>35</v>
      </c>
      <c r="D14" s="10" t="s">
        <v>36</v>
      </c>
      <c r="E14" s="10" t="s">
        <v>37</v>
      </c>
      <c r="F14" s="10" t="s">
        <v>38</v>
      </c>
      <c r="G14" s="10" t="s">
        <v>39</v>
      </c>
    </row>
    <row r="15" customFormat="false" ht="15" hidden="false" customHeight="false" outlineLevel="0" collapsed="false">
      <c r="B15" s="11" t="n">
        <v>1</v>
      </c>
      <c r="C15" s="12" t="n">
        <f aca="false">1/$C$9</f>
        <v>0.25</v>
      </c>
      <c r="D15" s="13" t="n">
        <f aca="false">EXP(-$C$7*C15)</f>
        <v>0.990049833749168</v>
      </c>
      <c r="E15" s="13" t="n">
        <f aca="false">EXP(-$C$5*C15)</f>
        <v>0.995012479192682</v>
      </c>
      <c r="F15" s="14" t="n">
        <f aca="false">(1/$C$9)*D15*E15</f>
        <v>0.246277984900766</v>
      </c>
      <c r="G15" s="14" t="n">
        <f aca="false">D15*(1-E15)</f>
        <v>0.00493789414610539</v>
      </c>
    </row>
    <row r="16" customFormat="false" ht="15" hidden="false" customHeight="false" outlineLevel="0" collapsed="false">
      <c r="B16" s="11" t="n">
        <v>2</v>
      </c>
      <c r="C16" s="12" t="n">
        <f aca="false">2/$C$9</f>
        <v>0.5</v>
      </c>
      <c r="D16" s="13" t="n">
        <f aca="false">EXP(-$C$7*C16)</f>
        <v>0.980198673306755</v>
      </c>
      <c r="E16" s="13" t="n">
        <f aca="false">EXP(-$C$5*C16)</f>
        <v>0.990049833749168</v>
      </c>
      <c r="F16" s="14" t="n">
        <f aca="false">(1/$C$9)*D16*E16</f>
        <v>0.242611383387127</v>
      </c>
      <c r="G16" s="14" t="n">
        <f aca="false">D16*(E15-E16)</f>
        <v>0.00486437847982445</v>
      </c>
    </row>
    <row r="17" customFormat="false" ht="15" hidden="false" customHeight="false" outlineLevel="0" collapsed="false">
      <c r="B17" s="11" t="n">
        <v>3</v>
      </c>
      <c r="C17" s="12" t="n">
        <f aca="false">3/$C$9</f>
        <v>0.75</v>
      </c>
      <c r="D17" s="13" t="n">
        <f aca="false">EXP(-$C$7*C17)</f>
        <v>0.970445533548508</v>
      </c>
      <c r="E17" s="13" t="n">
        <f aca="false">EXP(-$C$5*C17)</f>
        <v>0.985111939603063</v>
      </c>
      <c r="F17" s="14" t="n">
        <f aca="false">(1/$C$9)*D17*E17</f>
        <v>0.238999370458275</v>
      </c>
      <c r="G17" s="14" t="n">
        <f aca="false">D17*(E16-E17)</f>
        <v>0.00479195731922337</v>
      </c>
    </row>
    <row r="18" customFormat="false" ht="15" hidden="false" customHeight="false" outlineLevel="0" collapsed="false">
      <c r="B18" s="11" t="n">
        <v>4</v>
      </c>
      <c r="C18" s="12" t="n">
        <f aca="false">4/$C$9</f>
        <v>1</v>
      </c>
      <c r="D18" s="13" t="n">
        <f aca="false">EXP(-$C$7*C18)</f>
        <v>0.960789439152323</v>
      </c>
      <c r="E18" s="13" t="n">
        <f aca="false">EXP(-$C$5*C18)</f>
        <v>0.980198673306755</v>
      </c>
      <c r="F18" s="14" t="n">
        <f aca="false">(1/$C$9)*D18*E18</f>
        <v>0.235441133396062</v>
      </c>
      <c r="G18" s="14" t="n">
        <f aca="false">D18*(E17-E18)</f>
        <v>0.00472061436923519</v>
      </c>
    </row>
    <row r="19" customFormat="false" ht="15" hidden="false" customHeight="false" outlineLevel="0" collapsed="false">
      <c r="B19" s="11" t="n">
        <v>5</v>
      </c>
      <c r="C19" s="12" t="n">
        <f aca="false">5/$C$9</f>
        <v>1.25</v>
      </c>
      <c r="D19" s="13" t="n">
        <f aca="false">EXP(-$C$7*C19)</f>
        <v>0.951229424500714</v>
      </c>
      <c r="E19" s="13" t="n">
        <f aca="false">EXP(-$C$5*C19)</f>
        <v>0.975309912028333</v>
      </c>
      <c r="F19" s="14" t="n">
        <f aca="false">(1/$C$9)*D19*E19</f>
        <v>0.231935871582138</v>
      </c>
      <c r="G19" s="14" t="n">
        <f aca="false">D19*(E18-E19)</f>
        <v>0.00465033357739534</v>
      </c>
    </row>
    <row r="20" customFormat="false" ht="15" hidden="false" customHeight="false" outlineLevel="0" collapsed="false">
      <c r="B20" s="11" t="n">
        <v>6</v>
      </c>
      <c r="C20" s="12" t="n">
        <f aca="false">6/$C$9</f>
        <v>1.5</v>
      </c>
      <c r="D20" s="13" t="n">
        <f aca="false">EXP(-$C$7*C20)</f>
        <v>0.941764533584249</v>
      </c>
      <c r="E20" s="13" t="n">
        <f aca="false">EXP(-$C$5*C20)</f>
        <v>0.970445533548508</v>
      </c>
      <c r="F20" s="14" t="n">
        <f aca="false">(1/$C$9)*D20*E20</f>
        <v>0.228482796317807</v>
      </c>
      <c r="G20" s="14" t="n">
        <f aca="false">D20*(E19-E20)</f>
        <v>0.00458109913022914</v>
      </c>
    </row>
    <row r="21" customFormat="false" ht="15" hidden="false" customHeight="false" outlineLevel="0" collapsed="false">
      <c r="B21" s="11" t="n">
        <v>7</v>
      </c>
      <c r="C21" s="12" t="n">
        <f aca="false">7/$C$9</f>
        <v>1.75</v>
      </c>
      <c r="D21" s="13" t="n">
        <f aca="false">EXP(-$C$7*C21)</f>
        <v>0.932393819905948</v>
      </c>
      <c r="E21" s="13" t="n">
        <f aca="false">EXP(-$C$5*C21)</f>
        <v>0.965605416257567</v>
      </c>
      <c r="F21" s="14" t="n">
        <f aca="false">(1/$C$9)*D21*E21</f>
        <v>0.225081130646566</v>
      </c>
      <c r="G21" s="14" t="n">
        <f aca="false">D21*(E20-E21)</f>
        <v>0.00451289544969395</v>
      </c>
    </row>
    <row r="22" customFormat="false" ht="15" hidden="false" customHeight="false" outlineLevel="0" collapsed="false">
      <c r="B22" s="11" t="n">
        <v>8</v>
      </c>
      <c r="C22" s="12" t="n">
        <f aca="false">8/$C$9</f>
        <v>2</v>
      </c>
      <c r="D22" s="13" t="n">
        <f aca="false">EXP(-$C$7*C22)</f>
        <v>0.923116346386636</v>
      </c>
      <c r="E22" s="13" t="n">
        <f aca="false">EXP(-$C$5*C22)</f>
        <v>0.960789439152323</v>
      </c>
      <c r="F22" s="14" t="n">
        <f aca="false">(1/$C$9)*D22*E22</f>
        <v>0.221730109179289</v>
      </c>
      <c r="G22" s="14" t="n">
        <f aca="false">D22*(E21-E22)</f>
        <v>0.00444570718967387</v>
      </c>
    </row>
    <row r="23" customFormat="false" ht="15" hidden="false" customHeight="false" outlineLevel="0" collapsed="false">
      <c r="B23" s="11" t="n">
        <v>9</v>
      </c>
      <c r="C23" s="12" t="n">
        <f aca="false">9/$C$9</f>
        <v>2.25</v>
      </c>
      <c r="D23" s="13" t="n">
        <f aca="false">EXP(-$C$7*C23)</f>
        <v>0.913931185271228</v>
      </c>
      <c r="E23" s="13" t="n">
        <f aca="false">EXP(-$C$5*C23)</f>
        <v>0.9559974818331</v>
      </c>
      <c r="F23" s="14" t="n">
        <f aca="false">(1/$C$9)*D23*E23</f>
        <v>0.218428977922009</v>
      </c>
      <c r="G23" s="14" t="n">
        <f aca="false">D23*(E22-E23)</f>
        <v>0.00437951923252681</v>
      </c>
    </row>
    <row r="24" customFormat="false" ht="15" hidden="false" customHeight="false" outlineLevel="0" collapsed="false">
      <c r="B24" s="11" t="n">
        <v>10</v>
      </c>
      <c r="C24" s="12" t="n">
        <f aca="false">10/$C$9</f>
        <v>2.5</v>
      </c>
      <c r="D24" s="13" t="n">
        <f aca="false">EXP(-$C$7*C24)</f>
        <v>0.90483741803596</v>
      </c>
      <c r="E24" s="13" t="n">
        <f aca="false">EXP(-$C$5*C24)</f>
        <v>0.951229424500714</v>
      </c>
      <c r="F24" s="14" t="n">
        <f aca="false">(1/$C$9)*D24*E24</f>
        <v>0.215176994106264</v>
      </c>
      <c r="G24" s="14" t="n">
        <f aca="false">D24*(E23-E24)</f>
        <v>0.00431431668568352</v>
      </c>
    </row>
    <row r="25" customFormat="false" ht="15" hidden="false" customHeight="false" outlineLevel="0" collapsed="false">
      <c r="B25" s="11" t="n">
        <v>11</v>
      </c>
      <c r="C25" s="12" t="n">
        <f aca="false">11/$C$9</f>
        <v>2.75</v>
      </c>
      <c r="D25" s="13" t="n">
        <f aca="false">EXP(-$C$7*C25)</f>
        <v>0.895834135296528</v>
      </c>
      <c r="E25" s="13" t="n">
        <f aca="false">EXP(-$C$5*C25)</f>
        <v>0.946485147953484</v>
      </c>
      <c r="F25" s="14" t="n">
        <f aca="false">(1/$C$9)*D25*E25</f>
        <v>0.211973426021979</v>
      </c>
      <c r="G25" s="14" t="n">
        <f aca="false">D25*(E24-E25)</f>
        <v>0.00425008487829556</v>
      </c>
    </row>
    <row r="26" customFormat="false" ht="15" hidden="false" customHeight="false" outlineLevel="0" collapsed="false">
      <c r="B26" s="11" t="n">
        <v>12</v>
      </c>
      <c r="C26" s="12" t="n">
        <f aca="false">12/$C$9</f>
        <v>3</v>
      </c>
      <c r="D26" s="13" t="n">
        <f aca="false">EXP(-$C$7*C26)</f>
        <v>0.886920436717158</v>
      </c>
      <c r="E26" s="13" t="n">
        <f aca="false">EXP(-$C$5*C26)</f>
        <v>0.941764533584249</v>
      </c>
      <c r="F26" s="14" t="n">
        <f aca="false">(1/$C$9)*D26*E26</f>
        <v>0.208817552852818</v>
      </c>
      <c r="G26" s="14" t="n">
        <f aca="false">D26*(E25-E26)</f>
        <v>0.00418680935793528</v>
      </c>
    </row>
    <row r="27" customFormat="false" ht="15" hidden="false" customHeight="false" outlineLevel="0" collapsed="false">
      <c r="B27" s="11" t="n">
        <v>13</v>
      </c>
      <c r="C27" s="12" t="n">
        <f aca="false">13/$C$9</f>
        <v>3.25</v>
      </c>
      <c r="D27" s="13" t="n">
        <f aca="false">EXP(-$C$7*C27)</f>
        <v>0.878095430920561</v>
      </c>
      <c r="E27" s="13" t="n">
        <f aca="false">EXP(-$C$5*C27)</f>
        <v>0.937067463377403</v>
      </c>
      <c r="F27" s="14" t="n">
        <f aca="false">(1/$C$9)*D27*E27</f>
        <v>0.205708664514005</v>
      </c>
      <c r="G27" s="14" t="n">
        <f aca="false">D27*(E26-E27)</f>
        <v>0.00412447588734394</v>
      </c>
    </row>
    <row r="28" customFormat="false" ht="15" hidden="false" customHeight="false" outlineLevel="0" collapsed="false">
      <c r="B28" s="11" t="n">
        <v>14</v>
      </c>
      <c r="C28" s="12" t="n">
        <f aca="false">14/$C$9</f>
        <v>3.5</v>
      </c>
      <c r="D28" s="13" t="n">
        <f aca="false">EXP(-$C$7*C28)</f>
        <v>0.869358235398806</v>
      </c>
      <c r="E28" s="13" t="n">
        <f aca="false">EXP(-$C$5*C28)</f>
        <v>0.932393819905948</v>
      </c>
      <c r="F28" s="14" t="n">
        <f aca="false">(1/$C$9)*D28*E28</f>
        <v>0.202646061492547</v>
      </c>
      <c r="G28" s="14" t="n">
        <f aca="false">D28*(E27-E28)</f>
        <v>0.00406307044122741</v>
      </c>
    </row>
    <row r="29" customFormat="false" ht="15" hidden="false" customHeight="false" outlineLevel="0" collapsed="false">
      <c r="B29" s="11" t="n">
        <v>15</v>
      </c>
      <c r="C29" s="12" t="n">
        <f aca="false">15/$C$9</f>
        <v>3.75</v>
      </c>
      <c r="D29" s="13" t="n">
        <f aca="false">EXP(-$C$7*C29)</f>
        <v>0.860707976425058</v>
      </c>
      <c r="E29" s="13" t="n">
        <f aca="false">EXP(-$C$5*C29)</f>
        <v>0.927743486328553</v>
      </c>
      <c r="F29" s="14" t="n">
        <f aca="false">(1/$C$9)*D29*E29</f>
        <v>0.199629054689844</v>
      </c>
      <c r="G29" s="14" t="n">
        <f aca="false">D29*(E28-E29)</f>
        <v>0.00400257920310151</v>
      </c>
    </row>
    <row r="30" customFormat="false" ht="15" hidden="false" customHeight="false" outlineLevel="0" collapsed="false">
      <c r="B30" s="11" t="n">
        <v>16</v>
      </c>
      <c r="C30" s="12" t="n">
        <f aca="false">16/$C$9</f>
        <v>4</v>
      </c>
      <c r="D30" s="13" t="n">
        <f aca="false">EXP(-$C$7*C30)</f>
        <v>0.852143788966211</v>
      </c>
      <c r="E30" s="13" t="n">
        <f aca="false">EXP(-$C$5*C30)</f>
        <v>0.923116346386636</v>
      </c>
      <c r="F30" s="14" t="n">
        <f aca="false">(1/$C$9)*D30*E30</f>
        <v>0.196656965266638</v>
      </c>
      <c r="G30" s="14" t="n">
        <f aca="false">D30*(E29-E30)</f>
        <v>0.00394298856218214</v>
      </c>
    </row>
    <row r="31" customFormat="false" ht="15" hidden="false" customHeight="false" outlineLevel="0" collapsed="false">
      <c r="B31" s="11" t="n">
        <v>17</v>
      </c>
      <c r="C31" s="12" t="n">
        <f aca="false">17/$C$9</f>
        <v>4.25</v>
      </c>
      <c r="D31" s="13" t="n">
        <f aca="false">EXP(-$C$7*C31)</f>
        <v>0.843664816596384</v>
      </c>
      <c r="E31" s="13" t="n">
        <f aca="false">EXP(-$C$5*C31)</f>
        <v>0.918512284401457</v>
      </c>
      <c r="F31" s="14" t="n">
        <f aca="false">(1/$C$9)*D31*E31</f>
        <v>0.19372912449027</v>
      </c>
      <c r="G31" s="14" t="n">
        <f aca="false">D31*(E30-E31)</f>
        <v>0.0038842851103239</v>
      </c>
    </row>
    <row r="32" customFormat="false" ht="15" hidden="false" customHeight="false" outlineLevel="0" collapsed="false">
      <c r="B32" s="11" t="n">
        <v>18</v>
      </c>
      <c r="C32" s="12" t="n">
        <f aca="false">18/$C$9</f>
        <v>4.5</v>
      </c>
      <c r="D32" s="13" t="n">
        <f aca="false">EXP(-$C$7*C32)</f>
        <v>0.835270211411272</v>
      </c>
      <c r="E32" s="13" t="n">
        <f aca="false">EXP(-$C$5*C32)</f>
        <v>0.913931185271228</v>
      </c>
      <c r="F32" s="14" t="n">
        <f aca="false">(1/$C$9)*D32*E32</f>
        <v>0.190844873584213</v>
      </c>
      <c r="G32" s="14" t="n">
        <f aca="false">D32*(E31-E32)</f>
        <v>0.00382645563900253</v>
      </c>
    </row>
    <row r="33" customFormat="false" ht="15" hidden="false" customHeight="false" outlineLevel="0" collapsed="false">
      <c r="B33" s="11" t="n">
        <v>19</v>
      </c>
      <c r="C33" s="12" t="n">
        <f aca="false">19/$C$9</f>
        <v>4.75</v>
      </c>
      <c r="D33" s="13" t="n">
        <f aca="false">EXP(-$C$7*C33)</f>
        <v>0.826959133943362</v>
      </c>
      <c r="E33" s="13" t="n">
        <f aca="false">EXP(-$C$5*C33)</f>
        <v>0.909372934468231</v>
      </c>
      <c r="F33" s="14" t="n">
        <f aca="false">(1/$C$9)*D33*E33</f>
        <v>0.188003563579846</v>
      </c>
      <c r="G33" s="14" t="n">
        <f aca="false">D33*(E32-E33)</f>
        <v>0.00376948713634284</v>
      </c>
    </row>
    <row r="34" customFormat="false" ht="15" hidden="false" customHeight="false" outlineLevel="0" collapsed="false">
      <c r="B34" s="11" t="n">
        <v>20</v>
      </c>
      <c r="C34" s="12" t="n">
        <f aca="false">20/$C$9</f>
        <v>5</v>
      </c>
      <c r="D34" s="13" t="n">
        <f aca="false">EXP(-$C$7*C34)</f>
        <v>0.818730753077982</v>
      </c>
      <c r="E34" s="13" t="n">
        <f aca="false">EXP(-$C$5*C34)</f>
        <v>0.90483741803596</v>
      </c>
      <c r="F34" s="14" t="n">
        <f aca="false">(1/$C$9)*D34*E34</f>
        <v>0.185204555170429</v>
      </c>
      <c r="G34" s="14" t="n">
        <f aca="false">D34*(E33-E34)</f>
        <v>0.00371336678419154</v>
      </c>
    </row>
    <row r="36" customFormat="false" ht="15" hidden="false" customHeight="false" outlineLevel="0" collapsed="false">
      <c r="B36" s="3" t="s">
        <v>40</v>
      </c>
    </row>
    <row r="37" customFormat="false" ht="15" hidden="false" customHeight="false" outlineLevel="0" collapsed="false">
      <c r="B37" s="4" t="s">
        <v>41</v>
      </c>
      <c r="C37" s="13" t="n">
        <f aca="false">SUM(F15:F34)</f>
        <v>4.28737959355889</v>
      </c>
    </row>
    <row r="38" customFormat="false" ht="15" hidden="false" customHeight="false" outlineLevel="0" collapsed="false">
      <c r="B38" s="4" t="s">
        <v>42</v>
      </c>
      <c r="C38" s="14" t="n">
        <f aca="false">(1-$C$6)*SUM(G15:G34)</f>
        <v>0.0515773911477226</v>
      </c>
    </row>
    <row r="39" customFormat="false" ht="15" hidden="false" customHeight="false" outlineLevel="0" collapsed="false">
      <c r="B39" s="4" t="s">
        <v>43</v>
      </c>
      <c r="C39" s="15" t="n">
        <f aca="false">C38/C37</f>
        <v>0.0120300500625626</v>
      </c>
    </row>
    <row r="40" customFormat="false" ht="15" hidden="false" customHeight="false" outlineLevel="0" collapsed="false">
      <c r="B40" s="16" t="s">
        <v>44</v>
      </c>
      <c r="C40" s="17" t="n">
        <f aca="false">C39*10000</f>
        <v>120.300500625626</v>
      </c>
    </row>
    <row r="41" customFormat="false" ht="15" hidden="false" customHeight="false" outlineLevel="0" collapsed="false">
      <c r="B41" s="4" t="s">
        <v>45</v>
      </c>
      <c r="C41" s="17" t="n">
        <f aca="false">$C$5*(1-$C$6)*10000</f>
        <v>120</v>
      </c>
      <c r="D41" s="2" t="s">
        <v>46</v>
      </c>
    </row>
    <row r="42" customFormat="false" ht="15" hidden="false" customHeight="false" outlineLevel="0" collapsed="false">
      <c r="B42" s="4" t="s">
        <v>47</v>
      </c>
      <c r="C42" s="18" t="n">
        <f aca="false">$C$11/10000*C37*$C$10</f>
        <v>643106.939033834</v>
      </c>
    </row>
    <row r="43" customFormat="false" ht="15" hidden="false" customHeight="false" outlineLevel="0" collapsed="false">
      <c r="B43" s="4" t="s">
        <v>48</v>
      </c>
      <c r="C43" s="18" t="n">
        <f aca="false">C38*$C$10</f>
        <v>515773.911477226</v>
      </c>
    </row>
    <row r="44" customFormat="false" ht="15" hidden="false" customHeight="false" outlineLevel="0" collapsed="false">
      <c r="B44" s="4" t="s">
        <v>49</v>
      </c>
      <c r="C44" s="18" t="n">
        <f aca="false">(C39-$C$11/10000)*C37*$C$10</f>
        <v>-127333.027556608</v>
      </c>
      <c r="D44" s="2" t="s">
        <v>50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B2:L23"/>
  <sheetViews>
    <sheetView showFormulas="false" showGridLines="fals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"/>
    <col collapsed="false" customWidth="true" hidden="false" outlineLevel="0" max="2" min="2" style="0" width="10"/>
    <col collapsed="false" customWidth="true" hidden="false" outlineLevel="0" max="5" min="3" style="0" width="15"/>
    <col collapsed="false" customWidth="true" hidden="false" outlineLevel="0" max="7" min="6" style="0" width="16"/>
    <col collapsed="false" customWidth="true" hidden="false" outlineLevel="0" max="9" min="8" style="0" width="15"/>
    <col collapsed="false" customWidth="true" hidden="false" outlineLevel="0" max="10" min="10" style="0" width="2"/>
    <col collapsed="false" customWidth="true" hidden="false" outlineLevel="0" max="12" min="11" style="0" width="14"/>
  </cols>
  <sheetData>
    <row r="2" customFormat="false" ht="16.15" hidden="false" customHeight="false" outlineLevel="0" collapsed="false">
      <c r="B2" s="1" t="s">
        <v>51</v>
      </c>
    </row>
    <row r="3" customFormat="false" ht="15" hidden="false" customHeight="false" outlineLevel="0" collapsed="false">
      <c r="B3" s="2" t="s">
        <v>52</v>
      </c>
    </row>
    <row r="4" customFormat="false" ht="15" hidden="false" customHeight="false" outlineLevel="0" collapsed="false">
      <c r="B4" s="2" t="s">
        <v>53</v>
      </c>
    </row>
    <row r="6" customFormat="false" ht="15" hidden="false" customHeight="false" outlineLevel="0" collapsed="false">
      <c r="B6" s="4" t="s">
        <v>26</v>
      </c>
      <c r="C6" s="6" t="n">
        <v>0.4</v>
      </c>
    </row>
    <row r="7" customFormat="false" ht="15" hidden="false" customHeight="false" outlineLevel="0" collapsed="false">
      <c r="B7" s="4" t="s">
        <v>54</v>
      </c>
      <c r="C7" s="7" t="n">
        <v>0.04</v>
      </c>
    </row>
    <row r="10" customFormat="false" ht="35.05" hidden="false" customHeight="false" outlineLevel="0" collapsed="false">
      <c r="B10" s="10" t="s">
        <v>55</v>
      </c>
      <c r="C10" s="10" t="s">
        <v>56</v>
      </c>
      <c r="D10" s="10" t="s">
        <v>57</v>
      </c>
      <c r="E10" s="10" t="s">
        <v>36</v>
      </c>
      <c r="F10" s="10" t="s">
        <v>37</v>
      </c>
      <c r="G10" s="10" t="s">
        <v>58</v>
      </c>
      <c r="H10" s="10" t="s">
        <v>59</v>
      </c>
      <c r="I10" s="10" t="s">
        <v>60</v>
      </c>
      <c r="K10" s="2" t="s">
        <v>61</v>
      </c>
      <c r="L10" s="2" t="s">
        <v>62</v>
      </c>
    </row>
    <row r="11" customFormat="false" ht="15" hidden="false" customHeight="false" outlineLevel="0" collapsed="false">
      <c r="B11" s="11" t="n">
        <v>1</v>
      </c>
      <c r="C11" s="9" t="n">
        <v>80</v>
      </c>
      <c r="D11" s="19" t="n">
        <f aca="false">C11/10000</f>
        <v>0.008</v>
      </c>
      <c r="E11" s="13" t="n">
        <f aca="false">EXP(-$C$7*B11)</f>
        <v>0.960789439152323</v>
      </c>
      <c r="F11" s="13" t="n">
        <f aca="false">((1-$C$6)*(0+E11*1)-D11*0)/(E11*(D11+1-$C$6))</f>
        <v>0.986842105263158</v>
      </c>
      <c r="G11" s="20" t="n">
        <f aca="false">-LN(F11/1)</f>
        <v>0.0132452267500207</v>
      </c>
      <c r="H11" s="20" t="n">
        <f aca="false">1-F11</f>
        <v>0.0131578947368421</v>
      </c>
      <c r="I11" s="20" t="n">
        <f aca="false">1-F11</f>
        <v>0.0131578947368421</v>
      </c>
      <c r="K11" s="14" t="n">
        <f aca="false">E11*(1-F11)</f>
        <v>0.0126419663046359</v>
      </c>
      <c r="L11" s="14" t="n">
        <f aca="false">E11*F11</f>
        <v>0.948147472847687</v>
      </c>
    </row>
    <row r="12" customFormat="false" ht="15" hidden="false" customHeight="false" outlineLevel="0" collapsed="false">
      <c r="B12" s="11" t="n">
        <v>2</v>
      </c>
      <c r="C12" s="9" t="n">
        <v>95</v>
      </c>
      <c r="D12" s="19" t="n">
        <f aca="false">C12/10000</f>
        <v>0.0095</v>
      </c>
      <c r="E12" s="13" t="n">
        <f aca="false">EXP(-$C$7*B12)</f>
        <v>0.923116346386636</v>
      </c>
      <c r="F12" s="13" t="n">
        <f aca="false">((1-$C$6)*(SUM(K11:K11)+E12*F11)-D12*SUM(L11:L11))/(E12*(D12+1-$C$6))</f>
        <v>0.968932878284689</v>
      </c>
      <c r="G12" s="20" t="n">
        <f aca="false">-LN(F12/F11)</f>
        <v>0.0183147117966106</v>
      </c>
      <c r="H12" s="20" t="n">
        <f aca="false">1-F12</f>
        <v>0.0310671217153111</v>
      </c>
      <c r="I12" s="20" t="n">
        <f aca="false">F11-F12</f>
        <v>0.017909226978469</v>
      </c>
      <c r="K12" s="14" t="n">
        <f aca="false">E12*(F11-F12)</f>
        <v>0.0165323001749732</v>
      </c>
      <c r="L12" s="14" t="n">
        <f aca="false">E12*F12</f>
        <v>0.894437778496049</v>
      </c>
    </row>
    <row r="13" customFormat="false" ht="15" hidden="false" customHeight="false" outlineLevel="0" collapsed="false">
      <c r="B13" s="11" t="n">
        <v>3</v>
      </c>
      <c r="C13" s="9" t="n">
        <v>110</v>
      </c>
      <c r="D13" s="19" t="n">
        <f aca="false">C13/10000</f>
        <v>0.011</v>
      </c>
      <c r="E13" s="13" t="n">
        <f aca="false">EXP(-$C$7*B13)</f>
        <v>0.886920436717158</v>
      </c>
      <c r="F13" s="13" t="n">
        <f aca="false">((1-$C$6)*(SUM(K11:K12)+E13*F12)-D13*SUM(L11:L12))/(E13*(D13+1-$C$6))</f>
        <v>0.946388647080734</v>
      </c>
      <c r="G13" s="20" t="n">
        <f aca="false">-LN(F13/F12)</f>
        <v>0.023542023742758</v>
      </c>
      <c r="H13" s="20" t="n">
        <f aca="false">1-F13</f>
        <v>0.0536113529192659</v>
      </c>
      <c r="I13" s="20" t="n">
        <f aca="false">F12-F13</f>
        <v>0.0225442312039548</v>
      </c>
      <c r="K13" s="14" t="n">
        <f aca="false">E13*(F12-F13)</f>
        <v>0.0199949393848641</v>
      </c>
      <c r="L13" s="14" t="n">
        <f aca="false">E13*F13</f>
        <v>0.839371432173005</v>
      </c>
    </row>
    <row r="14" customFormat="false" ht="15" hidden="false" customHeight="false" outlineLevel="0" collapsed="false">
      <c r="B14" s="11" t="n">
        <v>4</v>
      </c>
      <c r="C14" s="9" t="n">
        <v>122</v>
      </c>
      <c r="D14" s="19" t="n">
        <f aca="false">C14/10000</f>
        <v>0.0122</v>
      </c>
      <c r="E14" s="13" t="n">
        <f aca="false">EXP(-$C$7*B14)</f>
        <v>0.852143788966211</v>
      </c>
      <c r="F14" s="13" t="n">
        <f aca="false">((1-$C$6)*(SUM(K11:K13)+E14*F13)-D14*SUM(L11:L13))/(E14*(D14+1-$C$6))</f>
        <v>0.921359722084412</v>
      </c>
      <c r="G14" s="20" t="n">
        <f aca="false">-LN(F14/F13)</f>
        <v>0.026802778968405</v>
      </c>
      <c r="H14" s="20" t="n">
        <f aca="false">1-F14</f>
        <v>0.0786402779155879</v>
      </c>
      <c r="I14" s="20" t="n">
        <f aca="false">F13-F14</f>
        <v>0.025028924996322</v>
      </c>
      <c r="K14" s="14" t="n">
        <f aca="false">E14*(F13-F14)</f>
        <v>0.021328242980117</v>
      </c>
      <c r="L14" s="14" t="n">
        <f aca="false">E14*F14</f>
        <v>0.785130964577866</v>
      </c>
    </row>
    <row r="15" customFormat="false" ht="15" hidden="false" customHeight="false" outlineLevel="0" collapsed="false">
      <c r="B15" s="11" t="n">
        <v>5</v>
      </c>
      <c r="C15" s="9" t="n">
        <v>133</v>
      </c>
      <c r="D15" s="19" t="n">
        <f aca="false">C15/10000</f>
        <v>0.0133</v>
      </c>
      <c r="E15" s="13" t="n">
        <f aca="false">EXP(-$C$7*B15)</f>
        <v>0.818730753077982</v>
      </c>
      <c r="F15" s="13" t="n">
        <f aca="false">((1-$C$6)*(SUM(K11:K14)+E15*F14)-D15*SUM(L11:L14))/(E15*(D15+1-$C$6))</f>
        <v>0.893783877046901</v>
      </c>
      <c r="G15" s="20" t="n">
        <f aca="false">-LN(F15/F14)</f>
        <v>0.030386540046337</v>
      </c>
      <c r="H15" s="20" t="n">
        <f aca="false">1-F15</f>
        <v>0.106216122953099</v>
      </c>
      <c r="I15" s="20" t="n">
        <f aca="false">F14-F15</f>
        <v>0.0275758450375107</v>
      </c>
      <c r="K15" s="14" t="n">
        <f aca="false">E15*(F14-F15)</f>
        <v>0.0225771923743228</v>
      </c>
      <c r="L15" s="14" t="n">
        <f aca="false">E15*F15</f>
        <v>0.731768346743568</v>
      </c>
    </row>
    <row r="16" customFormat="false" ht="15" hidden="false" customHeight="false" outlineLevel="0" collapsed="false">
      <c r="B16" s="11" t="n">
        <v>6</v>
      </c>
      <c r="C16" s="9" t="n">
        <v>142</v>
      </c>
      <c r="D16" s="19" t="n">
        <f aca="false">C16/10000</f>
        <v>0.0142</v>
      </c>
      <c r="E16" s="13" t="n">
        <f aca="false">EXP(-$C$7*B16)</f>
        <v>0.786627861066554</v>
      </c>
      <c r="F16" s="13" t="n">
        <f aca="false">((1-$C$6)*(SUM(K11:K15)+E16*F15)-D16*SUM(L11:L15))/(E16*(D16+1-$C$6))</f>
        <v>0.865298458684398</v>
      </c>
      <c r="G16" s="20" t="n">
        <f aca="false">-LN(F16/F15)</f>
        <v>0.0323895113168727</v>
      </c>
      <c r="H16" s="20" t="n">
        <f aca="false">1-F16</f>
        <v>0.134701541315602</v>
      </c>
      <c r="I16" s="20" t="n">
        <f aca="false">F15-F16</f>
        <v>0.0284854183625037</v>
      </c>
      <c r="K16" s="14" t="n">
        <f aca="false">E16*(F15-F16)</f>
        <v>0.0224074237180822</v>
      </c>
      <c r="L16" s="14" t="n">
        <f aca="false">E16*F16</f>
        <v>0.680667875739093</v>
      </c>
    </row>
    <row r="17" customFormat="false" ht="15" hidden="false" customHeight="false" outlineLevel="0" collapsed="false">
      <c r="B17" s="11" t="n">
        <v>7</v>
      </c>
      <c r="C17" s="9" t="n">
        <v>150</v>
      </c>
      <c r="D17" s="19" t="n">
        <f aca="false">C17/10000</f>
        <v>0.015</v>
      </c>
      <c r="E17" s="13" t="n">
        <f aca="false">EXP(-$C$7*B17)</f>
        <v>0.755783741455726</v>
      </c>
      <c r="F17" s="13" t="n">
        <f aca="false">((1-$C$6)*(SUM(K11:K16)+E17*F16)-D17*SUM(L11:L16))/(E17*(D17+1-$C$6))</f>
        <v>0.835795252696098</v>
      </c>
      <c r="G17" s="20" t="n">
        <f aca="false">-LN(F17/F16)</f>
        <v>0.0346908163154732</v>
      </c>
      <c r="H17" s="20" t="n">
        <f aca="false">1-F17</f>
        <v>0.164204747303902</v>
      </c>
      <c r="I17" s="20" t="n">
        <f aca="false">F16-F17</f>
        <v>0.0295032059882996</v>
      </c>
      <c r="K17" s="14" t="n">
        <f aca="false">E17*(F16-F17)</f>
        <v>0.022298043406776</v>
      </c>
      <c r="L17" s="14" t="n">
        <f aca="false">E17*F17</f>
        <v>0.631680463173591</v>
      </c>
    </row>
    <row r="18" customFormat="false" ht="15" hidden="false" customHeight="false" outlineLevel="0" collapsed="false">
      <c r="B18" s="11" t="n">
        <v>8</v>
      </c>
      <c r="C18" s="9" t="n">
        <v>157</v>
      </c>
      <c r="D18" s="19" t="n">
        <f aca="false">C18/10000</f>
        <v>0.0157</v>
      </c>
      <c r="E18" s="13" t="n">
        <f aca="false">EXP(-$C$7*B18)</f>
        <v>0.726149037073691</v>
      </c>
      <c r="F18" s="13" t="n">
        <f aca="false">((1-$C$6)*(SUM(K11:K17)+E18*F17)-D18*SUM(L11:L17))/(E18*(D18+1-$C$6))</f>
        <v>0.805854164147479</v>
      </c>
      <c r="G18" s="20" t="n">
        <f aca="false">-LN(F18/F17)</f>
        <v>0.0364808816925309</v>
      </c>
      <c r="H18" s="20" t="n">
        <f aca="false">1-F18</f>
        <v>0.194145835852521</v>
      </c>
      <c r="I18" s="20" t="n">
        <f aca="false">F17-F18</f>
        <v>0.0299410885486191</v>
      </c>
      <c r="K18" s="14" t="n">
        <f aca="false">E18*(F17-F18)</f>
        <v>0.0217416926185179</v>
      </c>
      <c r="L18" s="14" t="n">
        <f aca="false">E18*F18</f>
        <v>0.585170225317516</v>
      </c>
    </row>
    <row r="19" customFormat="false" ht="15" hidden="false" customHeight="false" outlineLevel="0" collapsed="false">
      <c r="B19" s="11" t="n">
        <v>9</v>
      </c>
      <c r="C19" s="9" t="n">
        <v>163</v>
      </c>
      <c r="D19" s="19" t="n">
        <f aca="false">C19/10000</f>
        <v>0.0163</v>
      </c>
      <c r="E19" s="13" t="n">
        <f aca="false">EXP(-$C$7*B19)</f>
        <v>0.697676326071031</v>
      </c>
      <c r="F19" s="13" t="n">
        <f aca="false">((1-$C$6)*(SUM(K11:K18)+E19*F18)-D19*SUM(L11:L18))/(E19*(D19+1-$C$6))</f>
        <v>0.776033799613619</v>
      </c>
      <c r="G19" s="20" t="n">
        <f aca="false">-LN(F19/F18)</f>
        <v>0.0377067129153365</v>
      </c>
      <c r="H19" s="20" t="n">
        <f aca="false">1-F19</f>
        <v>0.223966200386381</v>
      </c>
      <c r="I19" s="20" t="n">
        <f aca="false">F18-F19</f>
        <v>0.0298203645338598</v>
      </c>
      <c r="K19" s="14" t="n">
        <f aca="false">E19*(F18-F19)</f>
        <v>0.0208049623700822</v>
      </c>
      <c r="L19" s="14" t="n">
        <f aca="false">E19*F19</f>
        <v>0.541420410221373</v>
      </c>
    </row>
    <row r="20" customFormat="false" ht="15" hidden="false" customHeight="false" outlineLevel="0" collapsed="false">
      <c r="B20" s="11" t="n">
        <v>10</v>
      </c>
      <c r="C20" s="9" t="n">
        <v>168</v>
      </c>
      <c r="D20" s="19" t="n">
        <f aca="false">C20/10000</f>
        <v>0.0168</v>
      </c>
      <c r="E20" s="13" t="n">
        <f aca="false">EXP(-$C$7*B20)</f>
        <v>0.670320046035639</v>
      </c>
      <c r="F20" s="13" t="n">
        <f aca="false">((1-$C$6)*(SUM(K11:K19)+E20*F19)-D20*SUM(L11:L19))/(E20*(D20+1-$C$6))</f>
        <v>0.746869433417054</v>
      </c>
      <c r="G20" s="20" t="n">
        <f aca="false">-LN(F20/F19)</f>
        <v>0.0383056935111429</v>
      </c>
      <c r="H20" s="20" t="n">
        <f aca="false">1-F20</f>
        <v>0.253130566582946</v>
      </c>
      <c r="I20" s="20" t="n">
        <f aca="false">F19-F20</f>
        <v>0.0291643661965654</v>
      </c>
      <c r="K20" s="14" t="n">
        <f aca="false">E20*(F19-F20)</f>
        <v>0.0195494592914819</v>
      </c>
      <c r="L20" s="14" t="n">
        <f aca="false">E20*F20</f>
        <v>0.500641552990731</v>
      </c>
    </row>
    <row r="22" customFormat="false" ht="15" hidden="false" customHeight="false" outlineLevel="0" collapsed="false">
      <c r="B22" s="2" t="s">
        <v>63</v>
      </c>
    </row>
    <row r="23" customFormat="false" ht="15" hidden="false" customHeight="false" outlineLevel="0" collapsed="false">
      <c r="B23" s="2" t="s">
        <v>64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2026-07-14T00:55:12Z</dcterms:created>
  <dc:creator>openpyxl</dc:creator>
  <dc:description/>
  <dc:language>en-US</dc:language>
  <cp:lastModifiedBy/>
  <dcterms:modified xsi:type="dcterms:W3CDTF">2026-07-14T00:55:15Z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