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ield Curve" sheetId="1" state="visible" r:id="rId3"/>
    <sheet name="Bond Pric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<sst xmlns="http://schemas.openxmlformats.org/spreadsheetml/2006/main" count="53" uniqueCount="53">
  <si>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Yield Curve &amp; Discount Factors</t>
  </si>
  <si>
    <t xml:space="preserve">rodoslay.com — Credit Models, Module 4. Blue cells with yellow fill are inputs: edit those; everything else is formulas.</t>
  </si>
  <si>
    <t xml:space="preserve">Policy rate today (r0)</t>
  </si>
  <si>
    <t xml:space="preserve">Overnight rate set by the central bank (e.g. Banxico tasa objetivo, Fed funds).</t>
  </si>
  <si>
    <t xml:space="preserve">Expected long-run rate (r-inf)</t>
  </si>
  <si>
    <t xml:space="preserve">Where the market thinks the policy rate settles.</t>
  </si>
  <si>
    <t xml:space="preserve">Convergence speed tau (years)</t>
  </si>
  <si>
    <t xml:space="preserve">Smaller = faster convergence of the expected path. Path: r(t) = r-inf + (r0 - r-inf)*EXP(-t/tau).</t>
  </si>
  <si>
    <t xml:space="preserve">Term premium at 10y (tp10)</t>
  </si>
  <si>
    <t xml:space="preserve">Extra yield for holding long bonds; can be negative. Premium(T) grows concavely, normalized to tp10 at T=10.</t>
  </si>
  <si>
    <t xml:space="preserve">Maturity T (yrs)</t>
  </si>
  <si>
    <t xml:space="preserve">Avg expected short rate</t>
  </si>
  <si>
    <t xml:space="preserve">Term premium</t>
  </si>
  <si>
    <t xml:space="preserve">Zero rate y(T)</t>
  </si>
  <si>
    <t xml:space="preserve">Discount factor D(T)</t>
  </si>
  <si>
    <t xml:space="preserve">Forward f(T-1,T)</t>
  </si>
  <si>
    <t xml:space="preserve">Model: y(T) = average expected short rate over [0,T] + term premium(T). Forward f(T-1,T) is the 1y rate the curve implies for the future year ending at T.</t>
  </si>
  <si>
    <t xml:space="preserve">Assumptions are illustrative defaults typed by hand (not market data) — replace with a curve from Banxico/Valmer or FRED to rebuild a real one.</t>
  </si>
  <si>
    <t xml:space="preserve">Bond Pricing, Duration &amp; Spread</t>
  </si>
  <si>
    <t xml:space="preserve">rodoslay.com — Credit Models, Module 5. Annual coupons, annual compounding, price per 100 of face. Blue/yellow cells are inputs.</t>
  </si>
  <si>
    <t xml:space="preserve">Face value</t>
  </si>
  <si>
    <t xml:space="preserve">Coupon rate</t>
  </si>
  <si>
    <t xml:space="preserve">Annual coupon as % of face.</t>
  </si>
  <si>
    <t xml:space="preserve">Maturity (years, 1-30)</t>
  </si>
  <si>
    <t xml:space="preserve">Market yield (YTM)</t>
  </si>
  <si>
    <t xml:space="preserve">Used in Block A and the cash-flow table.</t>
  </si>
  <si>
    <t xml:space="preserve">Credit spread (bps)</t>
  </si>
  <si>
    <t xml:space="preserve">Used in Block C: parallel shift over the Yield Curve sheet.</t>
  </si>
  <si>
    <t xml:space="preserve">BLOCK A — Price and risk from the cash-flow table (columns H-L)</t>
  </si>
  <si>
    <t xml:space="preserve">Price (sum of PVs)</t>
  </si>
  <si>
    <t xml:space="preserve">Price (closed form, check)</t>
  </si>
  <si>
    <t xml:space="preserve">Macaulay duration (yrs)</t>
  </si>
  <si>
    <t xml:space="preserve">Price-yield table (for the chart)</t>
  </si>
  <si>
    <t xml:space="preserve">Modified duration</t>
  </si>
  <si>
    <t xml:space="preserve">t</t>
  </si>
  <si>
    <t xml:space="preserve">Cash flow</t>
  </si>
  <si>
    <t xml:space="preserve">PV at YTM</t>
  </si>
  <si>
    <t xml:space="preserve">t x PV</t>
  </si>
  <si>
    <t xml:space="preserve">t(t+1) x PV</t>
  </si>
  <si>
    <t xml:space="preserve">Yield</t>
  </si>
  <si>
    <t xml:space="preserve">Price</t>
  </si>
  <si>
    <t xml:space="preserve">DV01 (per 100 face)</t>
  </si>
  <si>
    <t xml:space="preserve">Convexity</t>
  </si>
  <si>
    <t xml:space="preserve">BLOCK B — Yield from a market price (runs the machine backward)</t>
  </si>
  <si>
    <t xml:space="preserve">Observed market price</t>
  </si>
  <si>
    <t xml:space="preserve">Implied YTM</t>
  </si>
  <si>
    <t xml:space="preserve">RATE(nper, pmt, -price, face). This is the YTM: the single rate that reproduces the price.</t>
  </si>
  <si>
    <t xml:space="preserve">BLOCK C — Same bond off the risk-free curve vs. spread-shifted curve</t>
  </si>
  <si>
    <t xml:space="preserve">Uses the zero curve from the Yield Curve sheet. Cost of spread = risk-free price - spread price, per 100 of face.</t>
  </si>
  <si>
    <t xml:space="preserve">Maturity (yrs)</t>
  </si>
  <si>
    <t xml:space="preserve">Price off risk-free curve</t>
  </si>
  <si>
    <t xml:space="preserve">Price at curve + spread</t>
  </si>
  <si>
    <t xml:space="preserve">Cost of the spread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</si>
</sst>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0.0"/>
    <numFmt numFmtId="167" formatCode="0"/>
    <numFmt numFmtId="168" formatCode="0.0000"/>
    <numFmt numFmtId="169" formatCode="0.0%"/>
    <numFmt numFmtId="170" formatCode="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1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1F2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78787"/>
      <rgbColor rgb="FF9999FF"/>
      <rgbColor rgb="FFBE4B48"/>
      <rgbColor rgb="FFFFFF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8B855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Zero curve, expectations component, and forwards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'Yield Curve'!B9</c:f>
              <c:strCache>
                <c:ptCount val="1"/>
                <c:pt idx="0">
                  <c:v>Avg expected short rate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'Yield Curve'!$A$10:$A$19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f>'Yield Curve'!$B$10:$B$19</c:f>
              <c:numCache>
                <c:formatCode>0.00%</c:formatCode>
                <c:ptCount val="10"/>
                <c:pt idx="0">
                  <c:v>0.0756049971227726</c:v>
                </c:pt>
                <c:pt idx="1">
                  <c:v>0.0722084698713368</c:v>
                </c:pt>
                <c:pt idx="2">
                  <c:v>0.0695584539184958</c:v>
                </c:pt>
                <c:pt idx="3">
                  <c:v>0.0674703669063335</c:v>
                </c:pt>
                <c:pt idx="4">
                  <c:v>0.0658083089595423</c:v>
                </c:pt>
                <c:pt idx="5">
                  <c:v>0.0644716879865686</c:v>
                </c:pt>
                <c:pt idx="6">
                  <c:v>0.0633856244408463</c:v>
                </c:pt>
                <c:pt idx="7">
                  <c:v>0.062494045281419</c:v>
                </c:pt>
                <c:pt idx="8">
                  <c:v>0.0617546963718938</c:v>
                </c:pt>
                <c:pt idx="9">
                  <c:v>0.0611355272569454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'Yield Curve'!C9</c:f>
              <c:strCache>
                <c:ptCount val="1"/>
                <c:pt idx="0">
                  <c:v>Term premium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'Yield Curve'!$A$10:$A$19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f>'Yield Curve'!$C$10:$C$19</c:f>
              <c:numCache>
                <c:formatCode>0.00%</c:formatCode>
                <c:ptCount val="10"/>
                <c:pt idx="0">
                  <c:v>0.0020964108215326</c:v>
                </c:pt>
                <c:pt idx="1">
                  <c:v>0.00381280683220681</c:v>
                </c:pt>
                <c:pt idx="2">
                  <c:v>0.00521807303060615</c:v>
                </c:pt>
                <c:pt idx="3">
                  <c:v>0.00636860768349667</c:v>
                </c:pt>
                <c:pt idx="4">
                  <c:v>0.00731058578630005</c:v>
                </c:pt>
                <c:pt idx="5">
                  <c:v>0.00808181222779122</c:v>
                </c:pt>
                <c:pt idx="6">
                  <c:v>0.00871323903302695</c:v>
                </c:pt>
                <c:pt idx="7">
                  <c:v>0.00923020757679121</c:v>
                </c:pt>
                <c:pt idx="8">
                  <c:v>0.00965346562194496</c:v>
                </c:pt>
                <c:pt idx="9">
                  <c:v>0.01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'Yield Curve'!D9</c:f>
              <c:strCache>
                <c:ptCount val="1"/>
                <c:pt idx="0">
                  <c:v>Zero rate y(T)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'Yield Curve'!$A$10:$A$19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f>'Yield Curve'!$D$10:$D$19</c:f>
              <c:numCache>
                <c:formatCode>0.00%</c:formatCode>
                <c:ptCount val="10"/>
                <c:pt idx="0">
                  <c:v>0.0777014079443052</c:v>
                </c:pt>
                <c:pt idx="1">
                  <c:v>0.0760212767035436</c:v>
                </c:pt>
                <c:pt idx="2">
                  <c:v>0.0747765269491019</c:v>
                </c:pt>
                <c:pt idx="3">
                  <c:v>0.0738389745898302</c:v>
                </c:pt>
                <c:pt idx="4">
                  <c:v>0.0731188947458424</c:v>
                </c:pt>
                <c:pt idx="5">
                  <c:v>0.0725535002143598</c:v>
                </c:pt>
                <c:pt idx="6">
                  <c:v>0.0720988634738732</c:v>
                </c:pt>
                <c:pt idx="7">
                  <c:v>0.0717242528582102</c:v>
                </c:pt>
                <c:pt idx="8">
                  <c:v>0.0714081619938388</c:v>
                </c:pt>
                <c:pt idx="9">
                  <c:v>0.0711355272569454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3462723"/>
        <c:axId val="6321455"/>
      </c:lineChart>
      <c:catAx>
        <c:axId val="1346272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Maturity (years)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21455"/>
        <c:crosses val="autoZero"/>
        <c:auto val="1"/>
        <c:lblAlgn val="ctr"/>
        <c:lblOffset val="100"/>
        <c:noMultiLvlLbl val="0"/>
      </c:catAx>
      <c:valAx>
        <c:axId val="63214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346272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Price vs. yield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'Bond Pricing'!O14</c:f>
              <c:strCache>
                <c:ptCount val="1"/>
                <c:pt idx="0">
                  <c:v>Price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'Bond Pricing'!$N$15:$N$44</c:f>
              <c:numCache>
                <c:formatCode>0.0%</c:formatCode>
                <c:ptCount val="30"/>
                <c:pt idx="0">
                  <c:v>0.005</c:v>
                </c:pt>
                <c:pt idx="1">
                  <c:v>0.01</c:v>
                </c:pt>
                <c:pt idx="2">
                  <c:v>0.015</c:v>
                </c:pt>
                <c:pt idx="3">
                  <c:v>0.02</c:v>
                </c:pt>
                <c:pt idx="4">
                  <c:v>0.025</c:v>
                </c:pt>
                <c:pt idx="5">
                  <c:v>0.03</c:v>
                </c:pt>
                <c:pt idx="6">
                  <c:v>0.035</c:v>
                </c:pt>
                <c:pt idx="7">
                  <c:v>0.04</c:v>
                </c:pt>
                <c:pt idx="8">
                  <c:v>0.045</c:v>
                </c:pt>
                <c:pt idx="9">
                  <c:v>0.05</c:v>
                </c:pt>
                <c:pt idx="10">
                  <c:v>0.055</c:v>
                </c:pt>
                <c:pt idx="11">
                  <c:v>0.06</c:v>
                </c:pt>
                <c:pt idx="12">
                  <c:v>0.065</c:v>
                </c:pt>
                <c:pt idx="13">
                  <c:v>0.07</c:v>
                </c:pt>
                <c:pt idx="14">
                  <c:v>0.075</c:v>
                </c:pt>
                <c:pt idx="15">
                  <c:v>0.08</c:v>
                </c:pt>
                <c:pt idx="16">
                  <c:v>0.085</c:v>
                </c:pt>
                <c:pt idx="17">
                  <c:v>0.09</c:v>
                </c:pt>
                <c:pt idx="18">
                  <c:v>0.095</c:v>
                </c:pt>
                <c:pt idx="19">
                  <c:v>0.1</c:v>
                </c:pt>
                <c:pt idx="20">
                  <c:v>0.105</c:v>
                </c:pt>
                <c:pt idx="21">
                  <c:v>0.11</c:v>
                </c:pt>
                <c:pt idx="22">
                  <c:v>0.115</c:v>
                </c:pt>
                <c:pt idx="23">
                  <c:v>0.12</c:v>
                </c:pt>
                <c:pt idx="24">
                  <c:v>0.125</c:v>
                </c:pt>
                <c:pt idx="25">
                  <c:v>0.13</c:v>
                </c:pt>
                <c:pt idx="26">
                  <c:v>0.135</c:v>
                </c:pt>
                <c:pt idx="27">
                  <c:v>0.14</c:v>
                </c:pt>
                <c:pt idx="28">
                  <c:v>0.145</c:v>
                </c:pt>
                <c:pt idx="29">
                  <c:v>0.15</c:v>
                </c:pt>
              </c:numCache>
            </c:numRef>
          </c:xVal>
          <c:yVal>
            <c:numRef>
              <c:f>'Bond Pricing'!$O$15:$O$44</c:f>
              <c:numCache>
                <c:formatCode>0.00</c:formatCode>
                <c:ptCount val="30"/>
                <c:pt idx="0">
                  <c:v>153.517265234323</c:v>
                </c:pt>
                <c:pt idx="1">
                  <c:v>147.356522653508</c:v>
                </c:pt>
                <c:pt idx="2">
                  <c:v>141.499830483345</c:v>
                </c:pt>
                <c:pt idx="3">
                  <c:v>135.930340024969</c:v>
                </c:pt>
                <c:pt idx="4">
                  <c:v>130.632223758398</c:v>
                </c:pt>
                <c:pt idx="5">
                  <c:v>125.590608510328</c:v>
                </c:pt>
                <c:pt idx="6">
                  <c:v>120.791513306445</c:v>
                </c:pt>
                <c:pt idx="7">
                  <c:v>116.22179155871</c:v>
                </c:pt>
                <c:pt idx="8">
                  <c:v>111.869077265665</c:v>
                </c:pt>
                <c:pt idx="9">
                  <c:v>107.721734929185</c:v>
                </c:pt>
                <c:pt idx="10">
                  <c:v>103.768812914294</c:v>
                </c:pt>
                <c:pt idx="11">
                  <c:v>100</c:v>
                </c:pt>
                <c:pt idx="12">
                  <c:v>96.4055848886194</c:v>
                </c:pt>
                <c:pt idx="13">
                  <c:v>92.9764184590674</c:v>
                </c:pt>
                <c:pt idx="14">
                  <c:v>89.7038785660293</c:v>
                </c:pt>
                <c:pt idx="15">
                  <c:v>86.5798372021171</c:v>
                </c:pt>
                <c:pt idx="16">
                  <c:v>83.5966298540263</c:v>
                </c:pt>
                <c:pt idx="17">
                  <c:v>80.747026896523</c:v>
                </c:pt>
                <c:pt idx="18">
                  <c:v>78.0242068798743</c:v>
                </c:pt>
                <c:pt idx="19">
                  <c:v>75.4217315771813</c:v>
                </c:pt>
                <c:pt idx="20">
                  <c:v>72.9335226680574</c:v>
                </c:pt>
                <c:pt idx="21">
                  <c:v>70.553839944294</c:v>
                </c:pt>
                <c:pt idx="22">
                  <c:v>68.2772609316274</c:v>
                </c:pt>
                <c:pt idx="23">
                  <c:v>66.0986618295348</c:v>
                </c:pt>
                <c:pt idx="24">
                  <c:v>64.0131996781868</c:v>
                </c:pt>
                <c:pt idx="25">
                  <c:v>62.0162956683298</c:v>
                </c:pt>
                <c:pt idx="26">
                  <c:v>60.1036195160028</c:v>
                </c:pt>
                <c:pt idx="27">
                  <c:v>58.2710748296513</c:v>
                </c:pt>
                <c:pt idx="28">
                  <c:v>56.5147854024303</c:v>
                </c:pt>
                <c:pt idx="29">
                  <c:v>54.831082367312</c:v>
                </c:pt>
              </c:numCache>
            </c:numRef>
          </c:yVal>
          <c:smooth val="1"/>
        </c:ser>
        <c:axId val="79281169"/>
        <c:axId val="44631839"/>
      </c:scatterChart>
      <c:valAx>
        <c:axId val="7928116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Yield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631839"/>
        <c:crosses val="autoZero"/>
        <c:crossBetween val="midCat"/>
      </c:valAx>
      <c:valAx>
        <c:axId val="446318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Price (per 100)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281169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160920</xdr:rowOff>
    </xdr:from>
    <xdr:to>
      <xdr:col>19</xdr:col>
      <xdr:colOff>581400</xdr:colOff>
      <xdr:row>20</xdr:row>
      <xdr:rowOff>181080</xdr:rowOff>
    </xdr:to>
    <xdr:graphicFrame>
      <xdr:nvGraphicFramePr>
        <xdr:cNvPr id="0" name="Chart 1"/>
        <xdr:cNvGraphicFramePr/>
      </xdr:nvGraphicFramePr>
      <xdr:xfrm>
        <a:off x="8153280" y="57168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44</xdr:row>
      <xdr:rowOff>39600</xdr:rowOff>
    </xdr:from>
    <xdr:to>
      <xdr:col>23</xdr:col>
      <xdr:colOff>178200</xdr:colOff>
      <xdr:row>63</xdr:row>
      <xdr:rowOff>19800</xdr:rowOff>
    </xdr:to>
    <xdr:graphicFrame>
      <xdr:nvGraphicFramePr>
        <xdr:cNvPr id="1" name="Chart 1"/>
        <xdr:cNvGraphicFramePr/>
      </xdr:nvGraphicFramePr>
      <xdr:xfrm>
        <a:off x="13066560" y="876312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15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v>0.08</v>
      </c>
      <c r="C4" s="2" t="s">
        <v>3</v>
      </c>
    </row>
    <row r="5" customFormat="false" ht="15" hidden="false" customHeight="false" outlineLevel="0" collapsed="false">
      <c r="A5" s="3" t="s">
        <v>4</v>
      </c>
      <c r="B5" s="4" t="n">
        <v>0.055</v>
      </c>
      <c r="C5" s="2" t="s">
        <v>5</v>
      </c>
    </row>
    <row r="6" customFormat="false" ht="15" hidden="false" customHeight="false" outlineLevel="0" collapsed="false">
      <c r="A6" s="3" t="s">
        <v>6</v>
      </c>
      <c r="B6" s="5" t="n">
        <v>2.5</v>
      </c>
      <c r="C6" s="2" t="s">
        <v>7</v>
      </c>
    </row>
    <row r="7" customFormat="false" ht="15" hidden="false" customHeight="false" outlineLevel="0" collapsed="false">
      <c r="A7" s="3" t="s">
        <v>8</v>
      </c>
      <c r="B7" s="4" t="n">
        <v>0.01</v>
      </c>
      <c r="C7" s="2" t="s">
        <v>9</v>
      </c>
    </row>
    <row r="9" customFormat="false" ht="26.85" hidden="false" customHeight="false" outlineLevel="0" collapsed="false">
      <c r="A9" s="6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</row>
    <row r="10" customFormat="false" ht="15" hidden="false" customHeight="false" outlineLevel="0" collapsed="false">
      <c r="A10" s="7" t="n">
        <v>1</v>
      </c>
      <c r="B10" s="8" t="n">
        <f aca="false">$B$5+($B$4-$B$5)*($B$6/A10)*(1-EXP(-A10/$B$6))</f>
        <v>0.0756049971227726</v>
      </c>
      <c r="C10" s="8" t="n">
        <f aca="false">$B$7*(1-EXP(-A10/5))/(1-EXP(-2))</f>
        <v>0.0020964108215326</v>
      </c>
      <c r="D10" s="8" t="n">
        <f aca="false">B10+C10</f>
        <v>0.0777014079443052</v>
      </c>
      <c r="E10" s="9" t="n">
        <f aca="false">1/(1+D10)^A10</f>
        <v>0.927900801305884</v>
      </c>
      <c r="F10" s="8" t="n">
        <f aca="false">D10</f>
        <v>0.0777014079443052</v>
      </c>
    </row>
    <row r="11" customFormat="false" ht="15" hidden="false" customHeight="false" outlineLevel="0" collapsed="false">
      <c r="A11" s="7" t="n">
        <v>2</v>
      </c>
      <c r="B11" s="8" t="n">
        <f aca="false">$B$5+($B$4-$B$5)*($B$6/A11)*(1-EXP(-A11/$B$6))</f>
        <v>0.0722084698713368</v>
      </c>
      <c r="C11" s="8" t="n">
        <f aca="false">$B$7*(1-EXP(-A11/5))/(1-EXP(-2))</f>
        <v>0.00381280683220681</v>
      </c>
      <c r="D11" s="8" t="n">
        <f aca="false">B11+C11</f>
        <v>0.0760212767035436</v>
      </c>
      <c r="E11" s="9" t="n">
        <f aca="false">1/(1+D11)^A11</f>
        <v>0.863690777315202</v>
      </c>
      <c r="F11" s="8" t="n">
        <f aca="false">((1+D11)^A11/(1+D10)^A10)-1</f>
        <v>0.0743437647791949</v>
      </c>
    </row>
    <row r="12" customFormat="false" ht="15" hidden="false" customHeight="false" outlineLevel="0" collapsed="false">
      <c r="A12" s="7" t="n">
        <v>3</v>
      </c>
      <c r="B12" s="8" t="n">
        <f aca="false">$B$5+($B$4-$B$5)*($B$6/A12)*(1-EXP(-A12/$B$6))</f>
        <v>0.0695584539184958</v>
      </c>
      <c r="C12" s="8" t="n">
        <f aca="false">$B$7*(1-EXP(-A12/5))/(1-EXP(-2))</f>
        <v>0.00521807303060615</v>
      </c>
      <c r="D12" s="8" t="n">
        <f aca="false">B12+C12</f>
        <v>0.0747765269491019</v>
      </c>
      <c r="E12" s="9" t="n">
        <f aca="false">1/(1+D12)^A12</f>
        <v>0.805462788516333</v>
      </c>
      <c r="F12" s="8" t="n">
        <f aca="false">((1+D12)^A12/(1+D11)^A11)-1</f>
        <v>0.0722913455829857</v>
      </c>
    </row>
    <row r="13" customFormat="false" ht="15" hidden="false" customHeight="false" outlineLevel="0" collapsed="false">
      <c r="A13" s="7" t="n">
        <v>4</v>
      </c>
      <c r="B13" s="8" t="n">
        <f aca="false">$B$5+($B$4-$B$5)*($B$6/A13)*(1-EXP(-A13/$B$6))</f>
        <v>0.0674703669063335</v>
      </c>
      <c r="C13" s="8" t="n">
        <f aca="false">$B$7*(1-EXP(-A13/5))/(1-EXP(-2))</f>
        <v>0.00636860768349667</v>
      </c>
      <c r="D13" s="8" t="n">
        <f aca="false">B13+C13</f>
        <v>0.0738389745898302</v>
      </c>
      <c r="E13" s="9" t="n">
        <f aca="false">1/(1+D13)^A13</f>
        <v>0.752044172157817</v>
      </c>
      <c r="F13" s="8" t="n">
        <f aca="false">((1+D13)^A13/(1+D12)^A12)-1</f>
        <v>0.0710312217502376</v>
      </c>
    </row>
    <row r="14" customFormat="false" ht="15" hidden="false" customHeight="false" outlineLevel="0" collapsed="false">
      <c r="A14" s="7" t="n">
        <v>5</v>
      </c>
      <c r="B14" s="8" t="n">
        <f aca="false">$B$5+($B$4-$B$5)*($B$6/A14)*(1-EXP(-A14/$B$6))</f>
        <v>0.0658083089595423</v>
      </c>
      <c r="C14" s="8" t="n">
        <f aca="false">$B$7*(1-EXP(-A14/5))/(1-EXP(-2))</f>
        <v>0.00731058578630005</v>
      </c>
      <c r="D14" s="8" t="n">
        <f aca="false">B14+C14</f>
        <v>0.0731188947458424</v>
      </c>
      <c r="E14" s="9" t="n">
        <f aca="false">1/(1+D14)^A14</f>
        <v>0.702685175760518</v>
      </c>
      <c r="F14" s="8" t="n">
        <f aca="false">((1+D14)^A14/(1+D13)^A13)-1</f>
        <v>0.0702434007432666</v>
      </c>
    </row>
    <row r="15" customFormat="false" ht="15" hidden="false" customHeight="false" outlineLevel="0" collapsed="false">
      <c r="A15" s="7" t="n">
        <v>6</v>
      </c>
      <c r="B15" s="8" t="n">
        <f aca="false">$B$5+($B$4-$B$5)*($B$6/A15)*(1-EXP(-A15/$B$6))</f>
        <v>0.0644716879865686</v>
      </c>
      <c r="C15" s="8" t="n">
        <f aca="false">$B$7*(1-EXP(-A15/5))/(1-EXP(-2))</f>
        <v>0.00808181222779122</v>
      </c>
      <c r="D15" s="8" t="n">
        <f aca="false">B15+C15</f>
        <v>0.0725535002143598</v>
      </c>
      <c r="E15" s="9" t="n">
        <f aca="false">1/(1+D15)^A15</f>
        <v>0.656880262901667</v>
      </c>
      <c r="F15" s="8" t="n">
        <f aca="false">((1+D15)^A15/(1+D14)^A14)-1</f>
        <v>0.0697309927634537</v>
      </c>
    </row>
    <row r="16" customFormat="false" ht="15" hidden="false" customHeight="false" outlineLevel="0" collapsed="false">
      <c r="A16" s="7" t="n">
        <v>7</v>
      </c>
      <c r="B16" s="8" t="n">
        <f aca="false">$B$5+($B$4-$B$5)*($B$6/A16)*(1-EXP(-A16/$B$6))</f>
        <v>0.0633856244408463</v>
      </c>
      <c r="C16" s="8" t="n">
        <f aca="false">$B$7*(1-EXP(-A16/5))/(1-EXP(-2))</f>
        <v>0.00871323903302695</v>
      </c>
      <c r="D16" s="8" t="n">
        <f aca="false">B16+C16</f>
        <v>0.0720988634738732</v>
      </c>
      <c r="E16" s="9" t="n">
        <f aca="false">1/(1+D16)^A16</f>
        <v>0.614265537698257</v>
      </c>
      <c r="F16" s="8" t="n">
        <f aca="false">((1+D16)^A16/(1+D15)^A15)-1</f>
        <v>0.0693750871375489</v>
      </c>
    </row>
    <row r="17" customFormat="false" ht="15" hidden="false" customHeight="false" outlineLevel="0" collapsed="false">
      <c r="A17" s="7" t="n">
        <v>8</v>
      </c>
      <c r="B17" s="8" t="n">
        <f aca="false">$B$5+($B$4-$B$5)*($B$6/A17)*(1-EXP(-A17/$B$6))</f>
        <v>0.062494045281419</v>
      </c>
      <c r="C17" s="8" t="n">
        <f aca="false">$B$7*(1-EXP(-A17/5))/(1-EXP(-2))</f>
        <v>0.00923020757679121</v>
      </c>
      <c r="D17" s="8" t="n">
        <f aca="false">B17+C17</f>
        <v>0.0717242528582102</v>
      </c>
      <c r="E17" s="9" t="n">
        <f aca="false">1/(1+D17)^A17</f>
        <v>0.57456018760213</v>
      </c>
      <c r="F17" s="8" t="n">
        <f aca="false">((1+D17)^A17/(1+D16)^A16)-1</f>
        <v>0.0691056410675326</v>
      </c>
    </row>
    <row r="18" customFormat="false" ht="15" hidden="false" customHeight="false" outlineLevel="0" collapsed="false">
      <c r="A18" s="7" t="n">
        <v>9</v>
      </c>
      <c r="B18" s="8" t="n">
        <f aca="false">$B$5+($B$4-$B$5)*($B$6/A18)*(1-EXP(-A18/$B$6))</f>
        <v>0.0617546963718938</v>
      </c>
      <c r="C18" s="8" t="n">
        <f aca="false">$B$7*(1-EXP(-A18/5))/(1-EXP(-2))</f>
        <v>0.00965346562194496</v>
      </c>
      <c r="D18" s="8" t="n">
        <f aca="false">B18+C18</f>
        <v>0.0714081619938388</v>
      </c>
      <c r="E18" s="9" t="n">
        <f aca="false">1/(1+D18)^A18</f>
        <v>0.537533388646266</v>
      </c>
      <c r="F18" s="8" t="n">
        <f aca="false">((1+D18)^A18/(1+D17)^A17)-1</f>
        <v>0.0688827889354247</v>
      </c>
    </row>
    <row r="19" customFormat="false" ht="15" hidden="false" customHeight="false" outlineLevel="0" collapsed="false">
      <c r="A19" s="7" t="n">
        <v>10</v>
      </c>
      <c r="B19" s="8" t="n">
        <f aca="false">$B$5+($B$4-$B$5)*($B$6/A19)*(1-EXP(-A19/$B$6))</f>
        <v>0.0611355272569454</v>
      </c>
      <c r="C19" s="8" t="n">
        <f aca="false">$B$7*(1-EXP(-A19/5))/(1-EXP(-2))</f>
        <v>0.01</v>
      </c>
      <c r="D19" s="8" t="n">
        <f aca="false">B19+C19</f>
        <v>0.0711355272569454</v>
      </c>
      <c r="E19" s="9" t="n">
        <f aca="false">1/(1+D19)^A19</f>
        <v>0.502985839265038</v>
      </c>
      <c r="F19" s="8" t="n">
        <f aca="false">((1+D19)^A19/(1+D18)^A18)-1</f>
        <v>0.0686849344142733</v>
      </c>
    </row>
    <row r="21" customFormat="false" ht="15" hidden="false" customHeight="false" outlineLevel="0" collapsed="false">
      <c r="A21" s="2" t="s">
        <v>16</v>
      </c>
    </row>
    <row r="22" customFormat="false" ht="15" hidden="false" customHeight="false" outlineLevel="0" collapsed="false">
      <c r="A22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40"/>
    <col collapsed="false" customWidth="true" hidden="false" outlineLevel="0" max="8" min="8" style="0" width="6"/>
    <col collapsed="false" customWidth="true" hidden="false" outlineLevel="0" max="11" min="9" style="0" width="12"/>
    <col collapsed="false" customWidth="true" hidden="false" outlineLevel="0" max="12" min="12" style="0" width="14"/>
    <col collapsed="false" customWidth="true" hidden="false" outlineLevel="0" max="15" min="14" style="0" width="10"/>
  </cols>
  <sheetData>
    <row r="1" customFormat="false" ht="17.35" hidden="false" customHeight="false" outlineLevel="0" collapsed="false">
      <c r="A1" s="1" t="s">
        <v>18</v>
      </c>
    </row>
    <row r="2" customFormat="false" ht="15" hidden="false" customHeight="false" outlineLevel="0" collapsed="false">
      <c r="A2" s="2" t="s">
        <v>19</v>
      </c>
    </row>
    <row r="4" customFormat="false" ht="15" hidden="false" customHeight="false" outlineLevel="0" collapsed="false">
      <c r="A4" s="3" t="s">
        <v>20</v>
      </c>
      <c r="B4" s="10" t="n">
        <v>100</v>
      </c>
      <c r="C4" s="2"/>
    </row>
    <row r="5" customFormat="false" ht="15" hidden="false" customHeight="false" outlineLevel="0" collapsed="false">
      <c r="A5" s="3" t="s">
        <v>21</v>
      </c>
      <c r="B5" s="4" t="n">
        <v>0.06</v>
      </c>
      <c r="C5" s="2" t="s">
        <v>22</v>
      </c>
    </row>
    <row r="6" customFormat="false" ht="15" hidden="false" customHeight="false" outlineLevel="0" collapsed="false">
      <c r="A6" s="3" t="s">
        <v>23</v>
      </c>
      <c r="B6" s="10" t="n">
        <v>10</v>
      </c>
      <c r="C6" s="2"/>
    </row>
    <row r="7" customFormat="false" ht="15" hidden="false" customHeight="false" outlineLevel="0" collapsed="false">
      <c r="A7" s="3" t="s">
        <v>24</v>
      </c>
      <c r="B7" s="4" t="n">
        <v>0.07</v>
      </c>
      <c r="C7" s="2" t="s">
        <v>25</v>
      </c>
    </row>
    <row r="8" customFormat="false" ht="15" hidden="false" customHeight="false" outlineLevel="0" collapsed="false">
      <c r="A8" s="3" t="s">
        <v>26</v>
      </c>
      <c r="B8" s="10" t="n">
        <v>150</v>
      </c>
      <c r="C8" s="2" t="s">
        <v>27</v>
      </c>
    </row>
    <row r="10" customFormat="false" ht="15" hidden="false" customHeight="false" outlineLevel="0" collapsed="false">
      <c r="A10" s="3" t="s">
        <v>28</v>
      </c>
    </row>
    <row r="11" customFormat="false" ht="15" hidden="false" customHeight="false" outlineLevel="0" collapsed="false">
      <c r="A11" s="11" t="s">
        <v>29</v>
      </c>
      <c r="B11" s="12" t="n">
        <f aca="false">SUM(J15:J44)</f>
        <v>92.9764184590674</v>
      </c>
    </row>
    <row r="12" customFormat="false" ht="15" hidden="false" customHeight="false" outlineLevel="0" collapsed="false">
      <c r="A12" s="11" t="s">
        <v>30</v>
      </c>
      <c r="B12" s="12" t="n">
        <f aca="false">IF($B$7=0,$B$5*$B$4*$B$6+$B$4,$B$5*$B$4*(1-(1+$B$7)^-$B$6)/$B$7+$B$4*(1+$B$7)^-$B$6)</f>
        <v>92.9764184590674</v>
      </c>
    </row>
    <row r="13" customFormat="false" ht="15" hidden="false" customHeight="false" outlineLevel="0" collapsed="false">
      <c r="A13" s="11" t="s">
        <v>31</v>
      </c>
      <c r="B13" s="12" t="n">
        <f aca="false">SUM(K15:K44)/SUM(J15:J44)</f>
        <v>7.70931063499778</v>
      </c>
      <c r="N13" s="3" t="s">
        <v>32</v>
      </c>
    </row>
    <row r="14" customFormat="false" ht="15" hidden="false" customHeight="false" outlineLevel="0" collapsed="false">
      <c r="A14" s="11" t="s">
        <v>33</v>
      </c>
      <c r="B14" s="12" t="n">
        <f aca="false">B13/(1+$B$7)</f>
        <v>7.2049632102783</v>
      </c>
      <c r="H14" s="13" t="s">
        <v>34</v>
      </c>
      <c r="I14" s="13" t="s">
        <v>35</v>
      </c>
      <c r="J14" s="13" t="s">
        <v>36</v>
      </c>
      <c r="K14" s="13" t="s">
        <v>37</v>
      </c>
      <c r="L14" s="13" t="s">
        <v>38</v>
      </c>
      <c r="N14" s="14" t="s">
        <v>39</v>
      </c>
      <c r="O14" s="14" t="s">
        <v>40</v>
      </c>
    </row>
    <row r="15" customFormat="false" ht="15" hidden="false" customHeight="false" outlineLevel="0" collapsed="false">
      <c r="A15" s="11" t="s">
        <v>41</v>
      </c>
      <c r="B15" s="15" t="n">
        <f aca="false">B14*B11*0.0001</f>
        <v>0.0669891674421021</v>
      </c>
      <c r="H15" s="7" t="n">
        <v>1</v>
      </c>
      <c r="I15" s="16" t="n">
        <f aca="false">IF(H15&lt;=$B$6,$B$5*$B$4+IF(H15=$B$6,$B$4,0),0)</f>
        <v>6</v>
      </c>
      <c r="J15" s="16" t="n">
        <f aca="false">I15/(1+$B$7)^H15</f>
        <v>5.60747663551402</v>
      </c>
      <c r="K15" s="16" t="n">
        <f aca="false">H15*J15</f>
        <v>5.60747663551402</v>
      </c>
      <c r="L15" s="16" t="n">
        <f aca="false">H15*(H15+1)*J15</f>
        <v>11.214953271028</v>
      </c>
      <c r="N15" s="17" t="n">
        <v>0.005</v>
      </c>
      <c r="O15" s="16" t="n">
        <f aca="false">$B$5*$B$4*(1-(1+N15)^-$B$6)/N15+$B$4*(1+N15)^-$B$6</f>
        <v>153.517265234323</v>
      </c>
    </row>
    <row r="16" customFormat="false" ht="15" hidden="false" customHeight="false" outlineLevel="0" collapsed="false">
      <c r="A16" s="11" t="s">
        <v>42</v>
      </c>
      <c r="B16" s="18" t="n">
        <f aca="false">SUM(L15:L44)/(B11*(1+$B$7)^2)</f>
        <v>67.3656332663644</v>
      </c>
      <c r="H16" s="7" t="n">
        <v>2</v>
      </c>
      <c r="I16" s="16" t="n">
        <f aca="false">IF(H16&lt;=$B$6,$B$5*$B$4+IF(H16=$B$6,$B$4,0),0)</f>
        <v>6</v>
      </c>
      <c r="J16" s="16" t="n">
        <f aca="false">I16/(1+$B$7)^H16</f>
        <v>5.24063236963927</v>
      </c>
      <c r="K16" s="16" t="n">
        <f aca="false">H16*J16</f>
        <v>10.4812647392785</v>
      </c>
      <c r="L16" s="16" t="n">
        <f aca="false">H16*(H16+1)*J16</f>
        <v>31.4437942178356</v>
      </c>
      <c r="N16" s="17" t="n">
        <v>0.01</v>
      </c>
      <c r="O16" s="16" t="n">
        <f aca="false">$B$5*$B$4*(1-(1+N16)^-$B$6)/N16+$B$4*(1+N16)^-$B$6</f>
        <v>147.356522653508</v>
      </c>
    </row>
    <row r="17" customFormat="false" ht="15" hidden="false" customHeight="false" outlineLevel="0" collapsed="false">
      <c r="H17" s="7" t="n">
        <v>3</v>
      </c>
      <c r="I17" s="16" t="n">
        <f aca="false">IF(H17&lt;=$B$6,$B$5*$B$4+IF(H17=$B$6,$B$4,0),0)</f>
        <v>6</v>
      </c>
      <c r="J17" s="16" t="n">
        <f aca="false">I17/(1+$B$7)^H17</f>
        <v>4.89778726134511</v>
      </c>
      <c r="K17" s="16" t="n">
        <f aca="false">H17*J17</f>
        <v>14.6933617840353</v>
      </c>
      <c r="L17" s="16" t="n">
        <f aca="false">H17*(H17+1)*J17</f>
        <v>58.7734471361413</v>
      </c>
      <c r="N17" s="17" t="n">
        <v>0.015</v>
      </c>
      <c r="O17" s="16" t="n">
        <f aca="false">$B$5*$B$4*(1-(1+N17)^-$B$6)/N17+$B$4*(1+N17)^-$B$6</f>
        <v>141.499830483345</v>
      </c>
    </row>
    <row r="18" customFormat="false" ht="15" hidden="false" customHeight="false" outlineLevel="0" collapsed="false">
      <c r="H18" s="7" t="n">
        <v>4</v>
      </c>
      <c r="I18" s="16" t="n">
        <f aca="false">IF(H18&lt;=$B$6,$B$5*$B$4+IF(H18=$B$6,$B$4,0),0)</f>
        <v>6</v>
      </c>
      <c r="J18" s="16" t="n">
        <f aca="false">I18/(1+$B$7)^H18</f>
        <v>4.57737127228515</v>
      </c>
      <c r="K18" s="16" t="n">
        <f aca="false">H18*J18</f>
        <v>18.3094850891406</v>
      </c>
      <c r="L18" s="16" t="n">
        <f aca="false">H18*(H18+1)*J18</f>
        <v>91.547425445703</v>
      </c>
      <c r="N18" s="17" t="n">
        <v>0.02</v>
      </c>
      <c r="O18" s="16" t="n">
        <f aca="false">$B$5*$B$4*(1-(1+N18)^-$B$6)/N18+$B$4*(1+N18)^-$B$6</f>
        <v>135.930340024969</v>
      </c>
    </row>
    <row r="19" customFormat="false" ht="15" hidden="false" customHeight="false" outlineLevel="0" collapsed="false">
      <c r="A19" s="3" t="s">
        <v>43</v>
      </c>
      <c r="H19" s="7" t="n">
        <v>5</v>
      </c>
      <c r="I19" s="16" t="n">
        <f aca="false">IF(H19&lt;=$B$6,$B$5*$B$4+IF(H19=$B$6,$B$4,0),0)</f>
        <v>6</v>
      </c>
      <c r="J19" s="16" t="n">
        <f aca="false">I19/(1+$B$7)^H19</f>
        <v>4.27791707690201</v>
      </c>
      <c r="K19" s="16" t="n">
        <f aca="false">H19*J19</f>
        <v>21.3895853845101</v>
      </c>
      <c r="L19" s="16" t="n">
        <f aca="false">H19*(H19+1)*J19</f>
        <v>128.33751230706</v>
      </c>
      <c r="N19" s="17" t="n">
        <v>0.025</v>
      </c>
      <c r="O19" s="16" t="n">
        <f aca="false">$B$5*$B$4*(1-(1+N19)^-$B$6)/N19+$B$4*(1+N19)^-$B$6</f>
        <v>130.632223758398</v>
      </c>
    </row>
    <row r="20" customFormat="false" ht="15" hidden="false" customHeight="false" outlineLevel="0" collapsed="false">
      <c r="A20" s="3" t="s">
        <v>44</v>
      </c>
      <c r="B20" s="19" t="n">
        <v>93.5</v>
      </c>
      <c r="H20" s="7" t="n">
        <v>6</v>
      </c>
      <c r="I20" s="16" t="n">
        <f aca="false">IF(H20&lt;=$B$6,$B$5*$B$4+IF(H20=$B$6,$B$4,0),0)</f>
        <v>6</v>
      </c>
      <c r="J20" s="16" t="n">
        <f aca="false">I20/(1+$B$7)^H20</f>
        <v>3.99805334289907</v>
      </c>
      <c r="K20" s="16" t="n">
        <f aca="false">H20*J20</f>
        <v>23.9883200573944</v>
      </c>
      <c r="L20" s="16" t="n">
        <f aca="false">H20*(H20+1)*J20</f>
        <v>167.918240401761</v>
      </c>
      <c r="N20" s="17" t="n">
        <v>0.03</v>
      </c>
      <c r="O20" s="16" t="n">
        <f aca="false">$B$5*$B$4*(1-(1+N20)^-$B$6)/N20+$B$4*(1+N20)^-$B$6</f>
        <v>125.590608510328</v>
      </c>
    </row>
    <row r="21" customFormat="false" ht="15" hidden="false" customHeight="false" outlineLevel="0" collapsed="false">
      <c r="A21" s="11" t="s">
        <v>45</v>
      </c>
      <c r="B21" s="20" t="n">
        <f aca="false">RATE($B$6,$B$5*$B$4,-B20,$B$4)</f>
        <v>0.0692212516456105</v>
      </c>
      <c r="C21" s="2" t="s">
        <v>46</v>
      </c>
      <c r="H21" s="7" t="n">
        <v>7</v>
      </c>
      <c r="I21" s="16" t="n">
        <f aca="false">IF(H21&lt;=$B$6,$B$5*$B$4+IF(H21=$B$6,$B$4,0),0)</f>
        <v>6</v>
      </c>
      <c r="J21" s="16" t="n">
        <f aca="false">I21/(1+$B$7)^H21</f>
        <v>3.73649845130755</v>
      </c>
      <c r="K21" s="16" t="n">
        <f aca="false">H21*J21</f>
        <v>26.1554891591528</v>
      </c>
      <c r="L21" s="16" t="n">
        <f aca="false">H21*(H21+1)*J21</f>
        <v>209.243913273223</v>
      </c>
      <c r="N21" s="17" t="n">
        <v>0.035</v>
      </c>
      <c r="O21" s="16" t="n">
        <f aca="false">$B$5*$B$4*(1-(1+N21)^-$B$6)/N21+$B$4*(1+N21)^-$B$6</f>
        <v>120.791513306445</v>
      </c>
    </row>
    <row r="22" customFormat="false" ht="15" hidden="false" customHeight="false" outlineLevel="0" collapsed="false">
      <c r="H22" s="7" t="n">
        <v>8</v>
      </c>
      <c r="I22" s="16" t="n">
        <f aca="false">IF(H22&lt;=$B$6,$B$5*$B$4+IF(H22=$B$6,$B$4,0),0)</f>
        <v>6</v>
      </c>
      <c r="J22" s="16" t="n">
        <f aca="false">I22/(1+$B$7)^H22</f>
        <v>3.49205462739023</v>
      </c>
      <c r="K22" s="16" t="n">
        <f aca="false">H22*J22</f>
        <v>27.9364370191218</v>
      </c>
      <c r="L22" s="16" t="n">
        <f aca="false">H22*(H22+1)*J22</f>
        <v>251.427933172097</v>
      </c>
      <c r="N22" s="17" t="n">
        <v>0.04</v>
      </c>
      <c r="O22" s="16" t="n">
        <f aca="false">$B$5*$B$4*(1-(1+N22)^-$B$6)/N22+$B$4*(1+N22)^-$B$6</f>
        <v>116.22179155871</v>
      </c>
    </row>
    <row r="23" customFormat="false" ht="15" hidden="false" customHeight="false" outlineLevel="0" collapsed="false">
      <c r="H23" s="7" t="n">
        <v>9</v>
      </c>
      <c r="I23" s="16" t="n">
        <f aca="false">IF(H23&lt;=$B$6,$B$5*$B$4+IF(H23=$B$6,$B$4,0),0)</f>
        <v>6</v>
      </c>
      <c r="J23" s="16" t="n">
        <f aca="false">I23/(1+$B$7)^H23</f>
        <v>3.26360245550489</v>
      </c>
      <c r="K23" s="16" t="n">
        <f aca="false">H23*J23</f>
        <v>29.372422099544</v>
      </c>
      <c r="L23" s="16" t="n">
        <f aca="false">H23*(H23+1)*J23</f>
        <v>293.72422099544</v>
      </c>
      <c r="N23" s="17" t="n">
        <v>0.045</v>
      </c>
      <c r="O23" s="16" t="n">
        <f aca="false">$B$5*$B$4*(1-(1+N23)^-$B$6)/N23+$B$4*(1+N23)^-$B$6</f>
        <v>111.869077265665</v>
      </c>
    </row>
    <row r="24" customFormat="false" ht="15" hidden="false" customHeight="false" outlineLevel="0" collapsed="false">
      <c r="A24" s="3" t="s">
        <v>47</v>
      </c>
      <c r="H24" s="7" t="n">
        <v>10</v>
      </c>
      <c r="I24" s="16" t="n">
        <f aca="false">IF(H24&lt;=$B$6,$B$5*$B$4+IF(H24=$B$6,$B$4,0),0)</f>
        <v>106</v>
      </c>
      <c r="J24" s="16" t="n">
        <f aca="false">I24/(1+$B$7)^H24</f>
        <v>53.8850249662801</v>
      </c>
      <c r="K24" s="16" t="n">
        <f aca="false">H24*J24</f>
        <v>538.850249662801</v>
      </c>
      <c r="L24" s="16" t="n">
        <f aca="false">H24*(H24+1)*J24</f>
        <v>5927.35274629081</v>
      </c>
      <c r="N24" s="17" t="n">
        <v>0.05</v>
      </c>
      <c r="O24" s="16" t="n">
        <f aca="false">$B$5*$B$4*(1-(1+N24)^-$B$6)/N24+$B$4*(1+N24)^-$B$6</f>
        <v>107.721734929185</v>
      </c>
    </row>
    <row r="25" customFormat="false" ht="15" hidden="false" customHeight="false" outlineLevel="0" collapsed="false">
      <c r="A25" s="2" t="s">
        <v>48</v>
      </c>
      <c r="H25" s="7" t="n">
        <v>11</v>
      </c>
      <c r="I25" s="16" t="n">
        <f aca="false">IF(H25&lt;=$B$6,$B$5*$B$4+IF(H25=$B$6,$B$4,0),0)</f>
        <v>0</v>
      </c>
      <c r="J25" s="16" t="n">
        <f aca="false">I25/(1+$B$7)^H25</f>
        <v>0</v>
      </c>
      <c r="K25" s="16" t="n">
        <f aca="false">H25*J25</f>
        <v>0</v>
      </c>
      <c r="L25" s="16" t="n">
        <f aca="false">H25*(H25+1)*J25</f>
        <v>0</v>
      </c>
      <c r="N25" s="17" t="n">
        <v>0.055</v>
      </c>
      <c r="O25" s="16" t="n">
        <f aca="false">$B$5*$B$4*(1-(1+N25)^-$B$6)/N25+$B$4*(1+N25)^-$B$6</f>
        <v>103.768812914294</v>
      </c>
    </row>
    <row r="26" customFormat="false" ht="39.55" hidden="false" customHeight="false" outlineLevel="0" collapsed="false">
      <c r="A26" s="6" t="s">
        <v>49</v>
      </c>
      <c r="B26" s="6" t="s">
        <v>50</v>
      </c>
      <c r="C26" s="6" t="s">
        <v>51</v>
      </c>
      <c r="D26" s="6" t="s">
        <v>52</v>
      </c>
      <c r="H26" s="7" t="n">
        <v>12</v>
      </c>
      <c r="I26" s="16" t="n">
        <f aca="false">IF(H26&lt;=$B$6,$B$5*$B$4+IF(H26=$B$6,$B$4,0),0)</f>
        <v>0</v>
      </c>
      <c r="J26" s="16" t="n">
        <f aca="false">I26/(1+$B$7)^H26</f>
        <v>0</v>
      </c>
      <c r="K26" s="16" t="n">
        <f aca="false">H26*J26</f>
        <v>0</v>
      </c>
      <c r="L26" s="16" t="n">
        <f aca="false">H26*(H26+1)*J26</f>
        <v>0</v>
      </c>
      <c r="N26" s="17" t="n">
        <v>0.06</v>
      </c>
      <c r="O26" s="16" t="n">
        <f aca="false">$B$5*$B$4*(1-(1+N26)^-$B$6)/N26+$B$4*(1+N26)^-$B$6</f>
        <v>100</v>
      </c>
    </row>
    <row r="27" customFormat="false" ht="15" hidden="false" customHeight="false" outlineLevel="0" collapsed="false">
      <c r="A27" s="7" t="n">
        <v>1</v>
      </c>
      <c r="B27" s="16" t="n">
        <f aca="false">SUMPRODUCT(('Yield Curve'!$A$10:$A$19&lt;=$A27)*$B$5*$B$4/((1+'Yield Curve'!$D$10:$D$19)^'Yield Curve'!$A$10:$A$19))+$B$4/(1+INDEX('Yield Curve'!$D$10:$D$19,MATCH($A27,'Yield Curve'!$A$10:$A$19,0)))^$A27</f>
        <v>98.3574849384237</v>
      </c>
      <c r="C27" s="16" t="n">
        <f aca="false">SUMPRODUCT(('Yield Curve'!$A$10:$A$19&lt;=$A27)*$B$5*$B$4/((1+'Yield Curve'!$D$10:$D$19+$B$8/10000)^'Yield Curve'!$A$10:$A$19))+$B$4/(1+INDEX('Yield Curve'!$D$10:$D$19,MATCH($A27,'Yield Curve'!$A$10:$A$19,0))+$B$8/10000)^$A27</f>
        <v>97.0072878366812</v>
      </c>
      <c r="D27" s="16" t="n">
        <f aca="false">B27-C27</f>
        <v>1.3501971017425</v>
      </c>
      <c r="H27" s="7" t="n">
        <v>13</v>
      </c>
      <c r="I27" s="16" t="n">
        <f aca="false">IF(H27&lt;=$B$6,$B$5*$B$4+IF(H27=$B$6,$B$4,0),0)</f>
        <v>0</v>
      </c>
      <c r="J27" s="16" t="n">
        <f aca="false">I27/(1+$B$7)^H27</f>
        <v>0</v>
      </c>
      <c r="K27" s="16" t="n">
        <f aca="false">H27*J27</f>
        <v>0</v>
      </c>
      <c r="L27" s="16" t="n">
        <f aca="false">H27*(H27+1)*J27</f>
        <v>0</v>
      </c>
      <c r="N27" s="17" t="n">
        <v>0.065</v>
      </c>
      <c r="O27" s="16" t="n">
        <f aca="false">$B$5*$B$4*(1-(1+N27)^-$B$6)/N27+$B$4*(1+N27)^-$B$6</f>
        <v>96.4055848886194</v>
      </c>
    </row>
    <row r="28" customFormat="false" ht="15" hidden="false" customHeight="false" outlineLevel="0" collapsed="false">
      <c r="A28" s="7" t="n">
        <v>2</v>
      </c>
      <c r="B28" s="16" t="n">
        <f aca="false">SUMPRODUCT(('Yield Curve'!$A$10:$A$19&lt;=$A28)*$B$5*$B$4/((1+'Yield Curve'!$D$10:$D$19)^'Yield Curve'!$A$10:$A$19))+$B$4/(1+INDEX('Yield Curve'!$D$10:$D$19,MATCH($A28,'Yield Curve'!$A$10:$A$19,0)))^$A28</f>
        <v>97.1186272032468</v>
      </c>
      <c r="C28" s="16" t="n">
        <f aca="false">SUMPRODUCT(('Yield Curve'!$A$10:$A$19&lt;=$A28)*$B$5*$B$4/((1+'Yield Curve'!$D$10:$D$19+$B$8/10000)^'Yield Curve'!$A$10:$A$19))+$B$4/(1+INDEX('Yield Curve'!$D$10:$D$19,MATCH($A28,'Yield Curve'!$A$10:$A$19,0))+$B$8/10000)^$A28</f>
        <v>94.5421065616553</v>
      </c>
      <c r="D28" s="16" t="n">
        <f aca="false">B28-C28</f>
        <v>2.57652064159147</v>
      </c>
      <c r="H28" s="7" t="n">
        <v>14</v>
      </c>
      <c r="I28" s="16" t="n">
        <f aca="false">IF(H28&lt;=$B$6,$B$5*$B$4+IF(H28=$B$6,$B$4,0),0)</f>
        <v>0</v>
      </c>
      <c r="J28" s="16" t="n">
        <f aca="false">I28/(1+$B$7)^H28</f>
        <v>0</v>
      </c>
      <c r="K28" s="16" t="n">
        <f aca="false">H28*J28</f>
        <v>0</v>
      </c>
      <c r="L28" s="16" t="n">
        <f aca="false">H28*(H28+1)*J28</f>
        <v>0</v>
      </c>
      <c r="N28" s="17" t="n">
        <v>0.07</v>
      </c>
      <c r="O28" s="16" t="n">
        <f aca="false">$B$5*$B$4*(1-(1+N28)^-$B$6)/N28+$B$4*(1+N28)^-$B$6</f>
        <v>92.9764184590674</v>
      </c>
    </row>
    <row r="29" customFormat="false" ht="15" hidden="false" customHeight="false" outlineLevel="0" collapsed="false">
      <c r="A29" s="7" t="n">
        <v>3</v>
      </c>
      <c r="B29" s="16" t="n">
        <f aca="false">SUMPRODUCT(('Yield Curve'!$A$10:$A$19&lt;=$A29)*$B$5*$B$4/((1+'Yield Curve'!$D$10:$D$19)^'Yield Curve'!$A$10:$A$19))+$B$4/(1+INDEX('Yield Curve'!$D$10:$D$19,MATCH($A29,'Yield Curve'!$A$10:$A$19,0)))^$A29</f>
        <v>96.1286050544578</v>
      </c>
      <c r="C29" s="16" t="n">
        <f aca="false">SUMPRODUCT(('Yield Curve'!$A$10:$A$19&lt;=$A29)*$B$5*$B$4/((1+'Yield Curve'!$D$10:$D$19+$B$8/10000)^'Yield Curve'!$A$10:$A$19))+$B$4/(1+INDEX('Yield Curve'!$D$10:$D$19,MATCH($A29,'Yield Curve'!$A$10:$A$19,0))+$B$8/10000)^$A29</f>
        <v>92.4334218144444</v>
      </c>
      <c r="D29" s="16" t="n">
        <f aca="false">B29-C29</f>
        <v>3.69518324001339</v>
      </c>
      <c r="H29" s="7" t="n">
        <v>15</v>
      </c>
      <c r="I29" s="16" t="n">
        <f aca="false">IF(H29&lt;=$B$6,$B$5*$B$4+IF(H29=$B$6,$B$4,0),0)</f>
        <v>0</v>
      </c>
      <c r="J29" s="16" t="n">
        <f aca="false">I29/(1+$B$7)^H29</f>
        <v>0</v>
      </c>
      <c r="K29" s="16" t="n">
        <f aca="false">H29*J29</f>
        <v>0</v>
      </c>
      <c r="L29" s="16" t="n">
        <f aca="false">H29*(H29+1)*J29</f>
        <v>0</v>
      </c>
      <c r="N29" s="17" t="n">
        <v>0.075</v>
      </c>
      <c r="O29" s="16" t="n">
        <f aca="false">$B$5*$B$4*(1-(1+N29)^-$B$6)/N29+$B$4*(1+N29)^-$B$6</f>
        <v>89.7038785660293</v>
      </c>
    </row>
    <row r="30" customFormat="false" ht="15" hidden="false" customHeight="false" outlineLevel="0" collapsed="false">
      <c r="A30" s="7" t="n">
        <v>4</v>
      </c>
      <c r="B30" s="16" t="n">
        <f aca="false">SUMPRODUCT(('Yield Curve'!$A$10:$A$19&lt;=$A30)*$B$5*$B$4/((1+'Yield Curve'!$D$10:$D$19)^'Yield Curve'!$A$10:$A$19))+$B$4/(1+INDEX('Yield Curve'!$D$10:$D$19,MATCH($A30,'Yield Curve'!$A$10:$A$19,0)))^$A30</f>
        <v>95.2990084515531</v>
      </c>
      <c r="C30" s="16" t="n">
        <f aca="false">SUMPRODUCT(('Yield Curve'!$A$10:$A$19&lt;=$A30)*$B$5*$B$4/((1+'Yield Curve'!$D$10:$D$19+$B$8/10000)^'Yield Curve'!$A$10:$A$19))+$B$4/(1+INDEX('Yield Curve'!$D$10:$D$19,MATCH($A30,'Yield Curve'!$A$10:$A$19,0))+$B$8/10000)^$A30</f>
        <v>90.5814311434454</v>
      </c>
      <c r="D30" s="16" t="n">
        <f aca="false">B30-C30</f>
        <v>4.71757730810774</v>
      </c>
      <c r="H30" s="7" t="n">
        <v>16</v>
      </c>
      <c r="I30" s="16" t="n">
        <f aca="false">IF(H30&lt;=$B$6,$B$5*$B$4+IF(H30=$B$6,$B$4,0),0)</f>
        <v>0</v>
      </c>
      <c r="J30" s="16" t="n">
        <f aca="false">I30/(1+$B$7)^H30</f>
        <v>0</v>
      </c>
      <c r="K30" s="16" t="n">
        <f aca="false">H30*J30</f>
        <v>0</v>
      </c>
      <c r="L30" s="16" t="n">
        <f aca="false">H30*(H30+1)*J30</f>
        <v>0</v>
      </c>
      <c r="N30" s="17" t="n">
        <v>0.08</v>
      </c>
      <c r="O30" s="16" t="n">
        <f aca="false">$B$5*$B$4*(1-(1+N30)^-$B$6)/N30+$B$4*(1+N30)^-$B$6</f>
        <v>86.5798372021171</v>
      </c>
    </row>
    <row r="31" customFormat="false" ht="15" hidden="false" customHeight="false" outlineLevel="0" collapsed="false">
      <c r="A31" s="7" t="n">
        <v>5</v>
      </c>
      <c r="B31" s="16" t="n">
        <f aca="false">SUMPRODUCT(('Yield Curve'!$A$10:$A$19&lt;=$A31)*$B$5*$B$4/((1+'Yield Curve'!$D$10:$D$19)^'Yield Curve'!$A$10:$A$19))+$B$4/(1+INDEX('Yield Curve'!$D$10:$D$19,MATCH($A31,'Yield Curve'!$A$10:$A$19,0)))^$A31</f>
        <v>94.5792198663864</v>
      </c>
      <c r="C31" s="16" t="n">
        <f aca="false">SUMPRODUCT(('Yield Curve'!$A$10:$A$19&lt;=$A31)*$B$5*$B$4/((1+'Yield Curve'!$D$10:$D$19+$B$8/10000)^'Yield Curve'!$A$10:$A$19))+$B$4/(1+INDEX('Yield Curve'!$D$10:$D$19,MATCH($A31,'Yield Curve'!$A$10:$A$19,0))+$B$8/10000)^$A31</f>
        <v>88.9265570381478</v>
      </c>
      <c r="D31" s="16" t="n">
        <f aca="false">B31-C31</f>
        <v>5.65266282823859</v>
      </c>
      <c r="H31" s="7" t="n">
        <v>17</v>
      </c>
      <c r="I31" s="16" t="n">
        <f aca="false">IF(H31&lt;=$B$6,$B$5*$B$4+IF(H31=$B$6,$B$4,0),0)</f>
        <v>0</v>
      </c>
      <c r="J31" s="16" t="n">
        <f aca="false">I31/(1+$B$7)^H31</f>
        <v>0</v>
      </c>
      <c r="K31" s="16" t="n">
        <f aca="false">H31*J31</f>
        <v>0</v>
      </c>
      <c r="L31" s="16" t="n">
        <f aca="false">H31*(H31+1)*J31</f>
        <v>0</v>
      </c>
      <c r="N31" s="17" t="n">
        <v>0.085</v>
      </c>
      <c r="O31" s="16" t="n">
        <f aca="false">$B$5*$B$4*(1-(1+N31)^-$B$6)/N31+$B$4*(1+N31)^-$B$6</f>
        <v>83.5966298540263</v>
      </c>
    </row>
    <row r="32" customFormat="false" ht="15" hidden="false" customHeight="false" outlineLevel="0" collapsed="false">
      <c r="A32" s="7" t="n">
        <v>6</v>
      </c>
      <c r="B32" s="16" t="n">
        <f aca="false">SUMPRODUCT(('Yield Curve'!$A$10:$A$19&lt;=$A32)*$B$5*$B$4/((1+'Yield Curve'!$D$10:$D$19)^'Yield Curve'!$A$10:$A$19))+$B$4/(1+INDEX('Yield Curve'!$D$10:$D$19,MATCH($A32,'Yield Curve'!$A$10:$A$19,0)))^$A32</f>
        <v>93.9400101579112</v>
      </c>
      <c r="C32" s="16" t="n">
        <f aca="false">SUMPRODUCT(('Yield Curve'!$A$10:$A$19&lt;=$A32)*$B$5*$B$4/((1+'Yield Curve'!$D$10:$D$19+$B$8/10000)^'Yield Curve'!$A$10:$A$19))+$B$4/(1+INDEX('Yield Curve'!$D$10:$D$19,MATCH($A32,'Yield Curve'!$A$10:$A$19,0))+$B$8/10000)^$A32</f>
        <v>87.4319167403908</v>
      </c>
      <c r="D32" s="16" t="n">
        <f aca="false">B32-C32</f>
        <v>6.50809341752046</v>
      </c>
      <c r="H32" s="7" t="n">
        <v>18</v>
      </c>
      <c r="I32" s="16" t="n">
        <f aca="false">IF(H32&lt;=$B$6,$B$5*$B$4+IF(H32=$B$6,$B$4,0),0)</f>
        <v>0</v>
      </c>
      <c r="J32" s="16" t="n">
        <f aca="false">I32/(1+$B$7)^H32</f>
        <v>0</v>
      </c>
      <c r="K32" s="16" t="n">
        <f aca="false">H32*J32</f>
        <v>0</v>
      </c>
      <c r="L32" s="16" t="n">
        <f aca="false">H32*(H32+1)*J32</f>
        <v>0</v>
      </c>
      <c r="N32" s="17" t="n">
        <v>0.09</v>
      </c>
      <c r="O32" s="16" t="n">
        <f aca="false">$B$5*$B$4*(1-(1+N32)^-$B$6)/N32+$B$4*(1+N32)^-$B$6</f>
        <v>80.747026896523</v>
      </c>
    </row>
    <row r="33" customFormat="false" ht="15" hidden="false" customHeight="false" outlineLevel="0" collapsed="false">
      <c r="A33" s="7" t="n">
        <v>7</v>
      </c>
      <c r="B33" s="16" t="n">
        <f aca="false">SUMPRODUCT(('Yield Curve'!$A$10:$A$19&lt;=$A33)*$B$5*$B$4/((1+'Yield Curve'!$D$10:$D$19)^'Yield Curve'!$A$10:$A$19))+$B$4/(1+INDEX('Yield Curve'!$D$10:$D$19,MATCH($A33,'Yield Curve'!$A$10:$A$19,0)))^$A33</f>
        <v>93.3641308637598</v>
      </c>
      <c r="C33" s="16" t="n">
        <f aca="false">SUMPRODUCT(('Yield Curve'!$A$10:$A$19&lt;=$A33)*$B$5*$B$4/((1+'Yield Curve'!$D$10:$D$19+$B$8/10000)^'Yield Curve'!$A$10:$A$19))+$B$4/(1+INDEX('Yield Curve'!$D$10:$D$19,MATCH($A33,'Yield Curve'!$A$10:$A$19,0))+$B$8/10000)^$A33</f>
        <v>86.0734097049533</v>
      </c>
      <c r="D33" s="16" t="n">
        <f aca="false">B33-C33</f>
        <v>7.29072115880651</v>
      </c>
      <c r="H33" s="7" t="n">
        <v>19</v>
      </c>
      <c r="I33" s="16" t="n">
        <f aca="false">IF(H33&lt;=$B$6,$B$5*$B$4+IF(H33=$B$6,$B$4,0),0)</f>
        <v>0</v>
      </c>
      <c r="J33" s="16" t="n">
        <f aca="false">I33/(1+$B$7)^H33</f>
        <v>0</v>
      </c>
      <c r="K33" s="16" t="n">
        <f aca="false">H33*J33</f>
        <v>0</v>
      </c>
      <c r="L33" s="16" t="n">
        <f aca="false">H33*(H33+1)*J33</f>
        <v>0</v>
      </c>
      <c r="N33" s="17" t="n">
        <v>0.095</v>
      </c>
      <c r="O33" s="16" t="n">
        <f aca="false">$B$5*$B$4*(1-(1+N33)^-$B$6)/N33+$B$4*(1+N33)^-$B$6</f>
        <v>78.0242068798743</v>
      </c>
    </row>
    <row r="34" customFormat="false" ht="15" hidden="false" customHeight="false" outlineLevel="0" collapsed="false">
      <c r="A34" s="7" t="n">
        <v>8</v>
      </c>
      <c r="B34" s="16" t="n">
        <f aca="false">SUMPRODUCT(('Yield Curve'!$A$10:$A$19&lt;=$A34)*$B$5*$B$4/((1+'Yield Curve'!$D$10:$D$19)^'Yield Curve'!$A$10:$A$19))+$B$4/(1+INDEX('Yield Curve'!$D$10:$D$19,MATCH($A34,'Yield Curve'!$A$10:$A$19,0)))^$A34</f>
        <v>92.8409569797598</v>
      </c>
      <c r="C34" s="16" t="n">
        <f aca="false">SUMPRODUCT(('Yield Curve'!$A$10:$A$19&lt;=$A34)*$B$5*$B$4/((1+'Yield Curve'!$D$10:$D$19+$B$8/10000)^'Yield Curve'!$A$10:$A$19))+$B$4/(1+INDEX('Yield Curve'!$D$10:$D$19,MATCH($A34,'Yield Curve'!$A$10:$A$19,0))+$B$8/10000)^$A34</f>
        <v>84.8341483700884</v>
      </c>
      <c r="D34" s="16" t="n">
        <f aca="false">B34-C34</f>
        <v>8.0068086096714</v>
      </c>
      <c r="H34" s="7" t="n">
        <v>20</v>
      </c>
      <c r="I34" s="16" t="n">
        <f aca="false">IF(H34&lt;=$B$6,$B$5*$B$4+IF(H34=$B$6,$B$4,0),0)</f>
        <v>0</v>
      </c>
      <c r="J34" s="16" t="n">
        <f aca="false">I34/(1+$B$7)^H34</f>
        <v>0</v>
      </c>
      <c r="K34" s="16" t="n">
        <f aca="false">H34*J34</f>
        <v>0</v>
      </c>
      <c r="L34" s="16" t="n">
        <f aca="false">H34*(H34+1)*J34</f>
        <v>0</v>
      </c>
      <c r="N34" s="17" t="n">
        <v>0.1</v>
      </c>
      <c r="O34" s="16" t="n">
        <f aca="false">$B$5*$B$4*(1-(1+N34)^-$B$6)/N34+$B$4*(1+N34)^-$B$6</f>
        <v>75.4217315771813</v>
      </c>
    </row>
    <row r="35" customFormat="false" ht="15" hidden="false" customHeight="false" outlineLevel="0" collapsed="false">
      <c r="A35" s="7" t="n">
        <v>9</v>
      </c>
      <c r="B35" s="16" t="n">
        <f aca="false">SUMPRODUCT(('Yield Curve'!$A$10:$A$19&lt;=$A35)*$B$5*$B$4/((1+'Yield Curve'!$D$10:$D$19)^'Yield Curve'!$A$10:$A$19))+$B$4/(1+INDEX('Yield Curve'!$D$10:$D$19,MATCH($A35,'Yield Curve'!$A$10:$A$19,0)))^$A35</f>
        <v>92.363477416051</v>
      </c>
      <c r="C35" s="16" t="n">
        <f aca="false">SUMPRODUCT(('Yield Curve'!$A$10:$A$19&lt;=$A35)*$B$5*$B$4/((1+'Yield Curve'!$D$10:$D$19+$B$8/10000)^'Yield Curve'!$A$10:$A$19))+$B$4/(1+INDEX('Yield Curve'!$D$10:$D$19,MATCH($A35,'Yield Curve'!$A$10:$A$19,0))+$B$8/10000)^$A35</f>
        <v>83.7013645902676</v>
      </c>
      <c r="D35" s="16" t="n">
        <f aca="false">B35-C35</f>
        <v>8.66211282578344</v>
      </c>
      <c r="H35" s="7" t="n">
        <v>21</v>
      </c>
      <c r="I35" s="16" t="n">
        <f aca="false">IF(H35&lt;=$B$6,$B$5*$B$4+IF(H35=$B$6,$B$4,0),0)</f>
        <v>0</v>
      </c>
      <c r="J35" s="16" t="n">
        <f aca="false">I35/(1+$B$7)^H35</f>
        <v>0</v>
      </c>
      <c r="K35" s="16" t="n">
        <f aca="false">H35*J35</f>
        <v>0</v>
      </c>
      <c r="L35" s="16" t="n">
        <f aca="false">H35*(H35+1)*J35</f>
        <v>0</v>
      </c>
      <c r="N35" s="17" t="n">
        <v>0.105</v>
      </c>
      <c r="O35" s="16" t="n">
        <f aca="false">$B$5*$B$4*(1-(1+N35)^-$B$6)/N35+$B$4*(1+N35)^-$B$6</f>
        <v>72.9335226680574</v>
      </c>
    </row>
    <row r="36" customFormat="false" ht="15" hidden="false" customHeight="false" outlineLevel="0" collapsed="false">
      <c r="A36" s="7" t="n">
        <v>10</v>
      </c>
      <c r="B36" s="16" t="n">
        <f aca="false">SUMPRODUCT(('Yield Curve'!$A$10:$A$19&lt;=$A36)*$B$5*$B$4/((1+'Yield Curve'!$D$10:$D$19)^'Yield Curve'!$A$10:$A$19))+$B$4/(1+INDEX('Yield Curve'!$D$10:$D$19,MATCH($A36,'Yield Curve'!$A$10:$A$19,0)))^$A36</f>
        <v>91.9266375135185</v>
      </c>
      <c r="C36" s="16" t="n">
        <f aca="false">SUMPRODUCT(('Yield Curve'!$A$10:$A$19&lt;=$A36)*$B$5*$B$4/((1+'Yield Curve'!$D$10:$D$19+$B$8/10000)^'Yield Curve'!$A$10:$A$19))+$B$4/(1+INDEX('Yield Curve'!$D$10:$D$19,MATCH($A36,'Yield Curve'!$A$10:$A$19,0))+$B$8/10000)^$A36</f>
        <v>82.6647168600999</v>
      </c>
      <c r="D36" s="16" t="n">
        <f aca="false">B36-C36</f>
        <v>9.26192065341857</v>
      </c>
      <c r="H36" s="7" t="n">
        <v>22</v>
      </c>
      <c r="I36" s="16" t="n">
        <f aca="false">IF(H36&lt;=$B$6,$B$5*$B$4+IF(H36=$B$6,$B$4,0),0)</f>
        <v>0</v>
      </c>
      <c r="J36" s="16" t="n">
        <f aca="false">I36/(1+$B$7)^H36</f>
        <v>0</v>
      </c>
      <c r="K36" s="16" t="n">
        <f aca="false">H36*J36</f>
        <v>0</v>
      </c>
      <c r="L36" s="16" t="n">
        <f aca="false">H36*(H36+1)*J36</f>
        <v>0</v>
      </c>
      <c r="N36" s="17" t="n">
        <v>0.11</v>
      </c>
      <c r="O36" s="16" t="n">
        <f aca="false">$B$5*$B$4*(1-(1+N36)^-$B$6)/N36+$B$4*(1+N36)^-$B$6</f>
        <v>70.553839944294</v>
      </c>
    </row>
    <row r="37" customFormat="false" ht="15" hidden="false" customHeight="false" outlineLevel="0" collapsed="false">
      <c r="H37" s="7" t="n">
        <v>23</v>
      </c>
      <c r="I37" s="16" t="n">
        <f aca="false">IF(H37&lt;=$B$6,$B$5*$B$4+IF(H37=$B$6,$B$4,0),0)</f>
        <v>0</v>
      </c>
      <c r="J37" s="16" t="n">
        <f aca="false">I37/(1+$B$7)^H37</f>
        <v>0</v>
      </c>
      <c r="K37" s="16" t="n">
        <f aca="false">H37*J37</f>
        <v>0</v>
      </c>
      <c r="L37" s="16" t="n">
        <f aca="false">H37*(H37+1)*J37</f>
        <v>0</v>
      </c>
      <c r="N37" s="17" t="n">
        <v>0.115</v>
      </c>
      <c r="O37" s="16" t="n">
        <f aca="false">$B$5*$B$4*(1-(1+N37)^-$B$6)/N37+$B$4*(1+N37)^-$B$6</f>
        <v>68.2772609316274</v>
      </c>
    </row>
    <row r="38" customFormat="false" ht="15" hidden="false" customHeight="false" outlineLevel="0" collapsed="false">
      <c r="H38" s="7" t="n">
        <v>24</v>
      </c>
      <c r="I38" s="16" t="n">
        <f aca="false">IF(H38&lt;=$B$6,$B$5*$B$4+IF(H38=$B$6,$B$4,0),0)</f>
        <v>0</v>
      </c>
      <c r="J38" s="16" t="n">
        <f aca="false">I38/(1+$B$7)^H38</f>
        <v>0</v>
      </c>
      <c r="K38" s="16" t="n">
        <f aca="false">H38*J38</f>
        <v>0</v>
      </c>
      <c r="L38" s="16" t="n">
        <f aca="false">H38*(H38+1)*J38</f>
        <v>0</v>
      </c>
      <c r="N38" s="17" t="n">
        <v>0.12</v>
      </c>
      <c r="O38" s="16" t="n">
        <f aca="false">$B$5*$B$4*(1-(1+N38)^-$B$6)/N38+$B$4*(1+N38)^-$B$6</f>
        <v>66.0986618295348</v>
      </c>
    </row>
    <row r="39" customFormat="false" ht="15" hidden="false" customHeight="false" outlineLevel="0" collapsed="false">
      <c r="H39" s="7" t="n">
        <v>25</v>
      </c>
      <c r="I39" s="16" t="n">
        <f aca="false">IF(H39&lt;=$B$6,$B$5*$B$4+IF(H39=$B$6,$B$4,0),0)</f>
        <v>0</v>
      </c>
      <c r="J39" s="16" t="n">
        <f aca="false">I39/(1+$B$7)^H39</f>
        <v>0</v>
      </c>
      <c r="K39" s="16" t="n">
        <f aca="false">H39*J39</f>
        <v>0</v>
      </c>
      <c r="L39" s="16" t="n">
        <f aca="false">H39*(H39+1)*J39</f>
        <v>0</v>
      </c>
      <c r="N39" s="17" t="n">
        <v>0.125</v>
      </c>
      <c r="O39" s="16" t="n">
        <f aca="false">$B$5*$B$4*(1-(1+N39)^-$B$6)/N39+$B$4*(1+N39)^-$B$6</f>
        <v>64.0131996781868</v>
      </c>
    </row>
    <row r="40" customFormat="false" ht="15" hidden="false" customHeight="false" outlineLevel="0" collapsed="false">
      <c r="H40" s="7" t="n">
        <v>26</v>
      </c>
      <c r="I40" s="16" t="n">
        <f aca="false">IF(H40&lt;=$B$6,$B$5*$B$4+IF(H40=$B$6,$B$4,0),0)</f>
        <v>0</v>
      </c>
      <c r="J40" s="16" t="n">
        <f aca="false">I40/(1+$B$7)^H40</f>
        <v>0</v>
      </c>
      <c r="K40" s="16" t="n">
        <f aca="false">H40*J40</f>
        <v>0</v>
      </c>
      <c r="L40" s="16" t="n">
        <f aca="false">H40*(H40+1)*J40</f>
        <v>0</v>
      </c>
      <c r="N40" s="17" t="n">
        <v>0.13</v>
      </c>
      <c r="O40" s="16" t="n">
        <f aca="false">$B$5*$B$4*(1-(1+N40)^-$B$6)/N40+$B$4*(1+N40)^-$B$6</f>
        <v>62.0162956683298</v>
      </c>
    </row>
    <row r="41" customFormat="false" ht="15" hidden="false" customHeight="false" outlineLevel="0" collapsed="false">
      <c r="H41" s="7" t="n">
        <v>27</v>
      </c>
      <c r="I41" s="16" t="n">
        <f aca="false">IF(H41&lt;=$B$6,$B$5*$B$4+IF(H41=$B$6,$B$4,0),0)</f>
        <v>0</v>
      </c>
      <c r="J41" s="16" t="n">
        <f aca="false">I41/(1+$B$7)^H41</f>
        <v>0</v>
      </c>
      <c r="K41" s="16" t="n">
        <f aca="false">H41*J41</f>
        <v>0</v>
      </c>
      <c r="L41" s="16" t="n">
        <f aca="false">H41*(H41+1)*J41</f>
        <v>0</v>
      </c>
      <c r="N41" s="17" t="n">
        <v>0.135</v>
      </c>
      <c r="O41" s="16" t="n">
        <f aca="false">$B$5*$B$4*(1-(1+N41)^-$B$6)/N41+$B$4*(1+N41)^-$B$6</f>
        <v>60.1036195160028</v>
      </c>
    </row>
    <row r="42" customFormat="false" ht="15" hidden="false" customHeight="false" outlineLevel="0" collapsed="false">
      <c r="H42" s="7" t="n">
        <v>28</v>
      </c>
      <c r="I42" s="16" t="n">
        <f aca="false">IF(H42&lt;=$B$6,$B$5*$B$4+IF(H42=$B$6,$B$4,0),0)</f>
        <v>0</v>
      </c>
      <c r="J42" s="16" t="n">
        <f aca="false">I42/(1+$B$7)^H42</f>
        <v>0</v>
      </c>
      <c r="K42" s="16" t="n">
        <f aca="false">H42*J42</f>
        <v>0</v>
      </c>
      <c r="L42" s="16" t="n">
        <f aca="false">H42*(H42+1)*J42</f>
        <v>0</v>
      </c>
      <c r="N42" s="17" t="n">
        <v>0.14</v>
      </c>
      <c r="O42" s="16" t="n">
        <f aca="false">$B$5*$B$4*(1-(1+N42)^-$B$6)/N42+$B$4*(1+N42)^-$B$6</f>
        <v>58.2710748296513</v>
      </c>
    </row>
    <row r="43" customFormat="false" ht="15" hidden="false" customHeight="false" outlineLevel="0" collapsed="false">
      <c r="H43" s="7" t="n">
        <v>29</v>
      </c>
      <c r="I43" s="16" t="n">
        <f aca="false">IF(H43&lt;=$B$6,$B$5*$B$4+IF(H43=$B$6,$B$4,0),0)</f>
        <v>0</v>
      </c>
      <c r="J43" s="16" t="n">
        <f aca="false">I43/(1+$B$7)^H43</f>
        <v>0</v>
      </c>
      <c r="K43" s="16" t="n">
        <f aca="false">H43*J43</f>
        <v>0</v>
      </c>
      <c r="L43" s="16" t="n">
        <f aca="false">H43*(H43+1)*J43</f>
        <v>0</v>
      </c>
      <c r="N43" s="17" t="n">
        <v>0.145</v>
      </c>
      <c r="O43" s="16" t="n">
        <f aca="false">$B$5*$B$4*(1-(1+N43)^-$B$6)/N43+$B$4*(1+N43)^-$B$6</f>
        <v>56.5147854024303</v>
      </c>
    </row>
    <row r="44" customFormat="false" ht="15" hidden="false" customHeight="false" outlineLevel="0" collapsed="false">
      <c r="H44" s="7" t="n">
        <v>30</v>
      </c>
      <c r="I44" s="16" t="n">
        <f aca="false">IF(H44&lt;=$B$6,$B$5*$B$4+IF(H44=$B$6,$B$4,0),0)</f>
        <v>0</v>
      </c>
      <c r="J44" s="16" t="n">
        <f aca="false">I44/(1+$B$7)^H44</f>
        <v>0</v>
      </c>
      <c r="K44" s="16" t="n">
        <f aca="false">H44*J44</f>
        <v>0</v>
      </c>
      <c r="L44" s="16" t="n">
        <f aca="false">H44*(H44+1)*J44</f>
        <v>0</v>
      </c>
      <c r="N44" s="17" t="n">
        <v>0.15</v>
      </c>
      <c r="O44" s="16" t="n">
        <f aca="false">$B$5*$B$4*(1-(1+N44)^-$B$6)/N44+$B$4*(1+N44)^-$B$6</f>
        <v>54.831082367312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2026-07-24T22:42:00Z</dcterms:created>
  <dc:creator>openpyxl</dc:creator>
  <dc:description/>
  <dc:language>en-US</dc:language>
  <cp:lastModifiedBy/>
  <dcterms:modified xsi:type="dcterms:W3CDTF">2026-07-24T22:42:06Z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